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800" windowWidth="15480" windowHeight="6390" tabRatio="834"/>
  </bookViews>
  <sheets>
    <sheet name="I. sz. mell." sheetId="60" r:id="rId1"/>
    <sheet name="1.sz.mell." sheetId="1" r:id="rId2"/>
    <sheet name="1.1.sz.mell  " sheetId="2" r:id="rId3"/>
    <sheet name="1.2.sz.mell  " sheetId="3" r:id="rId4"/>
    <sheet name="1.3. sz. mell" sheetId="69" r:id="rId5"/>
    <sheet name="1.4. sz. mell" sheetId="70" r:id="rId6"/>
    <sheet name="1.5. sz. mell" sheetId="71" r:id="rId7"/>
    <sheet name="2. sz. mell " sheetId="4" r:id="rId8"/>
    <sheet name="3. sz. mell" sheetId="5" r:id="rId9"/>
    <sheet name="3.1.asz.melléklet" sheetId="6" r:id="rId10"/>
    <sheet name="3.2.sz.melléklet" sheetId="7" r:id="rId11"/>
    <sheet name="4. sz. mell." sheetId="8" r:id="rId12"/>
    <sheet name="4.1 sz. mell" sheetId="9" r:id="rId13"/>
    <sheet name="4.2. sz. mell" sheetId="10" r:id="rId14"/>
    <sheet name="4.3 sz. mell" sheetId="11" r:id="rId15"/>
    <sheet name="4.4.sz. mell." sheetId="12" r:id="rId16"/>
    <sheet name="4.5.sz. mell. " sheetId="13" r:id="rId17"/>
    <sheet name="4.6 sz. mell." sheetId="14" r:id="rId18"/>
    <sheet name="4.7.sz. mell." sheetId="15" r:id="rId19"/>
    <sheet name="4.8.sz. mell." sheetId="16" r:id="rId20"/>
    <sheet name="5. sz. mell. " sheetId="17" r:id="rId21"/>
    <sheet name="5.1. sz. mell. " sheetId="24" r:id="rId22"/>
    <sheet name="5.2. sz. mell.  " sheetId="25" r:id="rId23"/>
    <sheet name="5.3 sz. mell" sheetId="26" r:id="rId24"/>
    <sheet name="5.4. sz mell" sheetId="27" r:id="rId25"/>
    <sheet name="5.5. sz. mell.  " sheetId="28" r:id="rId26"/>
    <sheet name="5.6. sz. mell" sheetId="29" r:id="rId27"/>
    <sheet name="5.7. sz. mell." sheetId="30" r:id="rId28"/>
    <sheet name="5.8. sz. mell." sheetId="31" r:id="rId29"/>
    <sheet name="5.9. sz. mell. " sheetId="32" r:id="rId30"/>
    <sheet name="5.9.1..sz mell." sheetId="33" r:id="rId31"/>
    <sheet name="5.10. sz. mell." sheetId="34" r:id="rId32"/>
    <sheet name="5.10.1..sz mell." sheetId="35" r:id="rId33"/>
    <sheet name="5.11 sz. mell " sheetId="36" r:id="rId34"/>
    <sheet name="5.11.1. sz. mell." sheetId="37" r:id="rId35"/>
    <sheet name="6.1.sz.mell. " sheetId="57" r:id="rId36"/>
    <sheet name="6.2.sz.mell." sheetId="58" r:id="rId37"/>
    <sheet name="7.1. sz mell." sheetId="40" r:id="rId38"/>
    <sheet name="7.2 sz mell." sheetId="41" r:id="rId39"/>
    <sheet name="8.1.sz.mell. (2)" sheetId="91" r:id="rId40"/>
    <sheet name="8.2.sz.mell." sheetId="73" r:id="rId41"/>
    <sheet name="8.3.sz.mell." sheetId="74" r:id="rId42"/>
    <sheet name="9. sz. mell." sheetId="83" r:id="rId43"/>
    <sheet name="10.sz. mell." sheetId="99" r:id="rId44"/>
    <sheet name="11.sz.mell." sheetId="78" r:id="rId45"/>
    <sheet name="12. sz. mell." sheetId="79" r:id="rId46"/>
    <sheet name="13. sz. mell." sheetId="97" r:id="rId47"/>
    <sheet name="14.sz.mell" sheetId="98" r:id="rId48"/>
    <sheet name="15.1. sz. mell." sheetId="88" r:id="rId49"/>
    <sheet name="15.2. sz. mell" sheetId="89" r:id="rId50"/>
    <sheet name="16sz. mell" sheetId="90" r:id="rId51"/>
    <sheet name="17.1.sz.mell." sheetId="92" r:id="rId52"/>
    <sheet name="17.2.sz.mell." sheetId="93" r:id="rId53"/>
    <sheet name="17.3.sz.mell." sheetId="94" r:id="rId54"/>
    <sheet name="17.4.sz.mell." sheetId="95" r:id="rId55"/>
    <sheet name="17.5.sz.mell." sheetId="96" r:id="rId56"/>
    <sheet name="Munka1" sheetId="55" r:id="rId57"/>
    <sheet name="Munka2" sheetId="56" r:id="rId58"/>
    <sheet name="." sheetId="18" r:id="rId59"/>
    <sheet name=".." sheetId="19" r:id="rId60"/>
    <sheet name="..." sheetId="20" r:id="rId61"/>
    <sheet name=".-" sheetId="21" r:id="rId62"/>
    <sheet name=".-." sheetId="22" r:id="rId63"/>
    <sheet name="," sheetId="23" r:id="rId64"/>
  </sheets>
  <externalReferences>
    <externalReference r:id="rId65"/>
    <externalReference r:id="rId66"/>
    <externalReference r:id="rId67"/>
    <externalReference r:id="rId68"/>
    <externalReference r:id="rId69"/>
  </externalReferences>
  <definedNames>
    <definedName name="___xlnm.Print_Area_1">'17.1.sz.mell.'!$A$1:$D$81</definedName>
    <definedName name="__xlnm.Print_Area_1">#REF!</definedName>
    <definedName name="__xlnm.Print_Area_1_60">'17.2.sz.mell.'!$A$1:$D$17</definedName>
    <definedName name="__xlnm.Print_Area_1_61">'17.3.sz.mell.'!$A$1:$D$24</definedName>
    <definedName name="__xlnm.Print_Area_1_62">'17.4.sz.mell.'!$A$1:$D$13</definedName>
    <definedName name="__xlnm.Print_Area_1_63">'17.5.sz.mell.'!$A$1:$D$11</definedName>
    <definedName name="_4._sz._sor_részletezése" localSheetId="43">#REF!</definedName>
    <definedName name="_4._sz._sor_részletezése" localSheetId="44">#REF!</definedName>
    <definedName name="_4._sz._sor_részletezése" localSheetId="46">#REF!</definedName>
    <definedName name="_4._sz._sor_részletezése" localSheetId="47">#REF!</definedName>
    <definedName name="_4._sz._sor_részletezése" localSheetId="48">#REF!</definedName>
    <definedName name="_4._sz._sor_részletezése" localSheetId="49">#REF!</definedName>
    <definedName name="_4._sz._sor_részletezése" localSheetId="50">#REF!</definedName>
    <definedName name="_4._sz._sor_részletezése" localSheetId="51">#REF!</definedName>
    <definedName name="_4._sz._sor_részletezése" localSheetId="52">#REF!</definedName>
    <definedName name="_4._sz._sor_részletezése" localSheetId="53">#REF!</definedName>
    <definedName name="_4._sz._sor_részletezése" localSheetId="54">#REF!</definedName>
    <definedName name="_4._sz._sor_részletezése" localSheetId="55">#REF!</definedName>
    <definedName name="_4._sz._sor_részletezése" localSheetId="39">#REF!</definedName>
    <definedName name="_4._sz._sor_részletezése">#REF!</definedName>
    <definedName name="_4._sz._sor_részletezése_1">"#REF!"</definedName>
    <definedName name="_4._sz._sor_részletezése_1_56" localSheetId="51">#REF!</definedName>
    <definedName name="_4._sz._sor_részletezése_1_56" localSheetId="52">#REF!</definedName>
    <definedName name="_4._sz._sor_részletezése_1_56" localSheetId="53">#REF!</definedName>
    <definedName name="_4._sz._sor_részletezése_1_56" localSheetId="54">#REF!</definedName>
    <definedName name="_4._sz._sor_részletezése_1_56" localSheetId="55">#REF!</definedName>
    <definedName name="_4._sz._sor_részletezése_1_56" localSheetId="39">#REF!</definedName>
    <definedName name="_4._sz._sor_részletezése_1_56">#REF!</definedName>
    <definedName name="_4._sz._sor_részletezése_1_57" localSheetId="51">#REF!</definedName>
    <definedName name="_4._sz._sor_részletezése_1_57" localSheetId="52">#REF!</definedName>
    <definedName name="_4._sz._sor_részletezése_1_57" localSheetId="53">#REF!</definedName>
    <definedName name="_4._sz._sor_részletezése_1_57" localSheetId="54">#REF!</definedName>
    <definedName name="_4._sz._sor_részletezése_1_57" localSheetId="55">#REF!</definedName>
    <definedName name="_4._sz._sor_részletezése_1_57" localSheetId="39">#REF!</definedName>
    <definedName name="_4._sz._sor_részletezése_1_57">#REF!</definedName>
    <definedName name="_4._sz._sor_részletezése_1_58" localSheetId="51">#REF!</definedName>
    <definedName name="_4._sz._sor_részletezése_1_58" localSheetId="52">#REF!</definedName>
    <definedName name="_4._sz._sor_részletezése_1_58" localSheetId="53">#REF!</definedName>
    <definedName name="_4._sz._sor_részletezése_1_58" localSheetId="54">#REF!</definedName>
    <definedName name="_4._sz._sor_részletezése_1_58" localSheetId="55">#REF!</definedName>
    <definedName name="_4._sz._sor_részletezése_1_58" localSheetId="39">#REF!</definedName>
    <definedName name="_4._sz._sor_részletezése_1_58">#REF!</definedName>
    <definedName name="_4._sz._sor_részletezése_17" localSheetId="51">#REF!</definedName>
    <definedName name="_4._sz._sor_részletezése_17" localSheetId="52">#REF!</definedName>
    <definedName name="_4._sz._sor_részletezése_17" localSheetId="53">#REF!</definedName>
    <definedName name="_4._sz._sor_részletezése_17" localSheetId="54">#REF!</definedName>
    <definedName name="_4._sz._sor_részletezése_17" localSheetId="55">#REF!</definedName>
    <definedName name="_4._sz._sor_részletezése_17" localSheetId="39">#REF!</definedName>
    <definedName name="_4._sz._sor_részletezése_17">#REF!</definedName>
    <definedName name="_4._sz._sor_részletezése_18" localSheetId="51">#REF!</definedName>
    <definedName name="_4._sz._sor_részletezése_18" localSheetId="52">#REF!</definedName>
    <definedName name="_4._sz._sor_részletezése_18" localSheetId="53">#REF!</definedName>
    <definedName name="_4._sz._sor_részletezése_18" localSheetId="54">#REF!</definedName>
    <definedName name="_4._sz._sor_részletezése_18" localSheetId="55">#REF!</definedName>
    <definedName name="_4._sz._sor_részletezése_18" localSheetId="39">#REF!</definedName>
    <definedName name="_4._sz._sor_részletezése_18">#REF!</definedName>
    <definedName name="_4._sz._sor_részletezése_21" localSheetId="51">#REF!</definedName>
    <definedName name="_4._sz._sor_részletezése_21" localSheetId="52">#REF!</definedName>
    <definedName name="_4._sz._sor_részletezése_21" localSheetId="53">#REF!</definedName>
    <definedName name="_4._sz._sor_részletezése_21" localSheetId="54">#REF!</definedName>
    <definedName name="_4._sz._sor_részletezése_21" localSheetId="55">#REF!</definedName>
    <definedName name="_4._sz._sor_részletezése_21" localSheetId="39">#REF!</definedName>
    <definedName name="_4._sz._sor_részletezése_21">#REF!</definedName>
    <definedName name="_4._sz._sor_részletezése_22" localSheetId="51">#REF!</definedName>
    <definedName name="_4._sz._sor_részletezése_22" localSheetId="52">#REF!</definedName>
    <definedName name="_4._sz._sor_részletezése_22" localSheetId="53">#REF!</definedName>
    <definedName name="_4._sz._sor_részletezése_22" localSheetId="54">#REF!</definedName>
    <definedName name="_4._sz._sor_részletezése_22" localSheetId="55">#REF!</definedName>
    <definedName name="_4._sz._sor_részletezése_22" localSheetId="39">#REF!</definedName>
    <definedName name="_4._sz._sor_részletezése_22">#REF!</definedName>
    <definedName name="_4._sz._sor_részletezése_23" localSheetId="51">#REF!</definedName>
    <definedName name="_4._sz._sor_részletezése_23" localSheetId="52">#REF!</definedName>
    <definedName name="_4._sz._sor_részletezése_23" localSheetId="53">#REF!</definedName>
    <definedName name="_4._sz._sor_részletezése_23" localSheetId="54">#REF!</definedName>
    <definedName name="_4._sz._sor_részletezése_23" localSheetId="55">#REF!</definedName>
    <definedName name="_4._sz._sor_részletezése_23" localSheetId="39">#REF!</definedName>
    <definedName name="_4._sz._sor_részletezése_23">#REF!</definedName>
    <definedName name="_4._sz._sor_részletezése_24" localSheetId="51">#REF!</definedName>
    <definedName name="_4._sz._sor_részletezése_24" localSheetId="52">#REF!</definedName>
    <definedName name="_4._sz._sor_részletezése_24" localSheetId="53">#REF!</definedName>
    <definedName name="_4._sz._sor_részletezése_24" localSheetId="54">#REF!</definedName>
    <definedName name="_4._sz._sor_részletezése_24" localSheetId="55">#REF!</definedName>
    <definedName name="_4._sz._sor_részletezése_24" localSheetId="39">#REF!</definedName>
    <definedName name="_4._sz._sor_részletezése_24">#REF!</definedName>
    <definedName name="_4._sz._sor_részletezése_28" localSheetId="51">#REF!</definedName>
    <definedName name="_4._sz._sor_részletezése_28" localSheetId="52">#REF!</definedName>
    <definedName name="_4._sz._sor_részletezése_28" localSheetId="53">#REF!</definedName>
    <definedName name="_4._sz._sor_részletezése_28" localSheetId="54">#REF!</definedName>
    <definedName name="_4._sz._sor_részletezése_28" localSheetId="55">#REF!</definedName>
    <definedName name="_4._sz._sor_részletezése_28" localSheetId="39">#REF!</definedName>
    <definedName name="_4._sz._sor_részletezése_28">#REF!</definedName>
    <definedName name="_4._sz._sor_részletezése_29" localSheetId="51">#REF!</definedName>
    <definedName name="_4._sz._sor_részletezése_29" localSheetId="52">#REF!</definedName>
    <definedName name="_4._sz._sor_részletezése_29" localSheetId="53">#REF!</definedName>
    <definedName name="_4._sz._sor_részletezése_29" localSheetId="54">#REF!</definedName>
    <definedName name="_4._sz._sor_részletezése_29" localSheetId="55">#REF!</definedName>
    <definedName name="_4._sz._sor_részletezése_29" localSheetId="39">#REF!</definedName>
    <definedName name="_4._sz._sor_részletezése_29">#REF!</definedName>
    <definedName name="_4._sz._sor_részletezése_30" localSheetId="51">#REF!</definedName>
    <definedName name="_4._sz._sor_részletezése_30" localSheetId="52">#REF!</definedName>
    <definedName name="_4._sz._sor_részletezése_30" localSheetId="53">#REF!</definedName>
    <definedName name="_4._sz._sor_részletezése_30" localSheetId="54">#REF!</definedName>
    <definedName name="_4._sz._sor_részletezése_30" localSheetId="55">#REF!</definedName>
    <definedName name="_4._sz._sor_részletezése_30" localSheetId="39">#REF!</definedName>
    <definedName name="_4._sz._sor_részletezése_30">#REF!</definedName>
    <definedName name="_4._sz._sor_részletezése_31" localSheetId="51">#REF!</definedName>
    <definedName name="_4._sz._sor_részletezése_31" localSheetId="52">#REF!</definedName>
    <definedName name="_4._sz._sor_részletezése_31" localSheetId="53">#REF!</definedName>
    <definedName name="_4._sz._sor_részletezése_31" localSheetId="54">#REF!</definedName>
    <definedName name="_4._sz._sor_részletezése_31" localSheetId="55">#REF!</definedName>
    <definedName name="_4._sz._sor_részletezése_31" localSheetId="39">#REF!</definedName>
    <definedName name="_4._sz._sor_részletezése_31">#REF!</definedName>
    <definedName name="_4._sz._sor_részletezése_32" localSheetId="51">#REF!</definedName>
    <definedName name="_4._sz._sor_részletezése_32" localSheetId="52">#REF!</definedName>
    <definedName name="_4._sz._sor_részletezése_32" localSheetId="53">#REF!</definedName>
    <definedName name="_4._sz._sor_részletezése_32" localSheetId="54">#REF!</definedName>
    <definedName name="_4._sz._sor_részletezése_32" localSheetId="55">#REF!</definedName>
    <definedName name="_4._sz._sor_részletezése_32" localSheetId="39">#REF!</definedName>
    <definedName name="_4._sz._sor_részletezése_32">#REF!</definedName>
    <definedName name="_4._sz._sor_részletezése_33" localSheetId="51">#REF!</definedName>
    <definedName name="_4._sz._sor_részletezése_33" localSheetId="52">#REF!</definedName>
    <definedName name="_4._sz._sor_részletezése_33" localSheetId="53">#REF!</definedName>
    <definedName name="_4._sz._sor_részletezése_33" localSheetId="54">#REF!</definedName>
    <definedName name="_4._sz._sor_részletezése_33" localSheetId="55">#REF!</definedName>
    <definedName name="_4._sz._sor_részletezése_33" localSheetId="39">#REF!</definedName>
    <definedName name="_4._sz._sor_részletezése_33">#REF!</definedName>
    <definedName name="_4._sz._sor_részletezése_36" localSheetId="51">#REF!</definedName>
    <definedName name="_4._sz._sor_részletezése_36" localSheetId="52">#REF!</definedName>
    <definedName name="_4._sz._sor_részletezése_36" localSheetId="53">#REF!</definedName>
    <definedName name="_4._sz._sor_részletezése_36" localSheetId="54">#REF!</definedName>
    <definedName name="_4._sz._sor_részletezése_36" localSheetId="55">#REF!</definedName>
    <definedName name="_4._sz._sor_részletezése_36" localSheetId="39">#REF!</definedName>
    <definedName name="_4._sz._sor_részletezése_36">#REF!</definedName>
    <definedName name="_4._sz._sor_részletezése_38" localSheetId="51">#REF!</definedName>
    <definedName name="_4._sz._sor_részletezése_38" localSheetId="52">#REF!</definedName>
    <definedName name="_4._sz._sor_részletezése_38" localSheetId="53">#REF!</definedName>
    <definedName name="_4._sz._sor_részletezése_38" localSheetId="54">#REF!</definedName>
    <definedName name="_4._sz._sor_részletezése_38" localSheetId="55">#REF!</definedName>
    <definedName name="_4._sz._sor_részletezése_38" localSheetId="39">#REF!</definedName>
    <definedName name="_4._sz._sor_részletezése_38">#REF!</definedName>
    <definedName name="_4._sz._sor_részletezése_40" localSheetId="51">#REF!</definedName>
    <definedName name="_4._sz._sor_részletezése_40" localSheetId="52">#REF!</definedName>
    <definedName name="_4._sz._sor_részletezése_40" localSheetId="53">#REF!</definedName>
    <definedName name="_4._sz._sor_részletezése_40" localSheetId="54">#REF!</definedName>
    <definedName name="_4._sz._sor_részletezése_40" localSheetId="55">#REF!</definedName>
    <definedName name="_4._sz._sor_részletezése_40" localSheetId="39">#REF!</definedName>
    <definedName name="_4._sz._sor_részletezése_40">#REF!</definedName>
    <definedName name="_4._sz._sor_részletezése_46" localSheetId="51">#REF!</definedName>
    <definedName name="_4._sz._sor_részletezése_46" localSheetId="52">#REF!</definedName>
    <definedName name="_4._sz._sor_részletezése_46" localSheetId="53">#REF!</definedName>
    <definedName name="_4._sz._sor_részletezése_46" localSheetId="54">#REF!</definedName>
    <definedName name="_4._sz._sor_részletezése_46" localSheetId="55">#REF!</definedName>
    <definedName name="_4._sz._sor_részletezése_46" localSheetId="39">#REF!</definedName>
    <definedName name="_4._sz._sor_részletezése_46">#REF!</definedName>
    <definedName name="_4._sz._sor_részletezése_47" localSheetId="44">#REF!</definedName>
    <definedName name="_4._sz._sor_részletezése_47" localSheetId="46">#REF!</definedName>
    <definedName name="_4._sz._sor_részletezése_47" localSheetId="48">#REF!</definedName>
    <definedName name="_4._sz._sor_részletezése_47" localSheetId="49">#REF!</definedName>
    <definedName name="_4._sz._sor_részletezése_47" localSheetId="50">#REF!</definedName>
    <definedName name="_4._sz._sor_részletezése_47" localSheetId="51">#REF!</definedName>
    <definedName name="_4._sz._sor_részletezése_47" localSheetId="52">#REF!</definedName>
    <definedName name="_4._sz._sor_részletezése_47" localSheetId="53">#REF!</definedName>
    <definedName name="_4._sz._sor_részletezése_47" localSheetId="54">#REF!</definedName>
    <definedName name="_4._sz._sor_részletezése_47" localSheetId="55">#REF!</definedName>
    <definedName name="_4._sz._sor_részletezése_47" localSheetId="39">#REF!</definedName>
    <definedName name="_4._sz._sor_részletezése_47">#REF!</definedName>
    <definedName name="_4._sz._sor_részletezése_47_1" localSheetId="51">#REF!</definedName>
    <definedName name="_4._sz._sor_részletezése_47_1" localSheetId="52">#REF!</definedName>
    <definedName name="_4._sz._sor_részletezése_47_1" localSheetId="53">#REF!</definedName>
    <definedName name="_4._sz._sor_részletezése_47_1" localSheetId="54">#REF!</definedName>
    <definedName name="_4._sz._sor_részletezése_47_1" localSheetId="55">#REF!</definedName>
    <definedName name="_4._sz._sor_részletezése_47_1" localSheetId="39">#REF!</definedName>
    <definedName name="_4._sz._sor_részletezése_47_1">#REF!</definedName>
    <definedName name="_4._sz._sor_részletezése_47_2" localSheetId="51">#REF!</definedName>
    <definedName name="_4._sz._sor_részletezése_47_2" localSheetId="52">#REF!</definedName>
    <definedName name="_4._sz._sor_részletezése_47_2" localSheetId="53">#REF!</definedName>
    <definedName name="_4._sz._sor_részletezése_47_2" localSheetId="54">#REF!</definedName>
    <definedName name="_4._sz._sor_részletezése_47_2" localSheetId="55">#REF!</definedName>
    <definedName name="_4._sz._sor_részletezése_47_2" localSheetId="39">#REF!</definedName>
    <definedName name="_4._sz._sor_részletezése_47_2">#REF!</definedName>
    <definedName name="_4._sz._sor_részletezése_47_3" localSheetId="51">#REF!</definedName>
    <definedName name="_4._sz._sor_részletezése_47_3" localSheetId="52">#REF!</definedName>
    <definedName name="_4._sz._sor_részletezése_47_3" localSheetId="53">#REF!</definedName>
    <definedName name="_4._sz._sor_részletezése_47_3" localSheetId="54">#REF!</definedName>
    <definedName name="_4._sz._sor_részletezése_47_3" localSheetId="55">#REF!</definedName>
    <definedName name="_4._sz._sor_részletezése_47_3" localSheetId="39">#REF!</definedName>
    <definedName name="_4._sz._sor_részletezése_47_3">#REF!</definedName>
    <definedName name="_4._sz._sor_részletezése_47_4" localSheetId="51">#REF!</definedName>
    <definedName name="_4._sz._sor_részletezése_47_4" localSheetId="52">#REF!</definedName>
    <definedName name="_4._sz._sor_részletezése_47_4" localSheetId="53">#REF!</definedName>
    <definedName name="_4._sz._sor_részletezése_47_4" localSheetId="54">#REF!</definedName>
    <definedName name="_4._sz._sor_részletezése_47_4" localSheetId="55">#REF!</definedName>
    <definedName name="_4._sz._sor_részletezése_47_4" localSheetId="39">#REF!</definedName>
    <definedName name="_4._sz._sor_részletezése_47_4">#REF!</definedName>
    <definedName name="_4._sz._sor_részletezése_47_44" localSheetId="51">#REF!</definedName>
    <definedName name="_4._sz._sor_részletezése_47_44" localSheetId="52">#REF!</definedName>
    <definedName name="_4._sz._sor_részletezése_47_44" localSheetId="53">#REF!</definedName>
    <definedName name="_4._sz._sor_részletezése_47_44" localSheetId="54">#REF!</definedName>
    <definedName name="_4._sz._sor_részletezése_47_44" localSheetId="55">#REF!</definedName>
    <definedName name="_4._sz._sor_részletezése_47_44" localSheetId="39">#REF!</definedName>
    <definedName name="_4._sz._sor_részletezése_47_44">#REF!</definedName>
    <definedName name="_4._sz._sor_részletezése_47_49" localSheetId="51">#REF!</definedName>
    <definedName name="_4._sz._sor_részletezése_47_49" localSheetId="52">#REF!</definedName>
    <definedName name="_4._sz._sor_részletezése_47_49" localSheetId="53">#REF!</definedName>
    <definedName name="_4._sz._sor_részletezése_47_49" localSheetId="54">#REF!</definedName>
    <definedName name="_4._sz._sor_részletezése_47_49" localSheetId="55">#REF!</definedName>
    <definedName name="_4._sz._sor_részletezése_47_49" localSheetId="39">#REF!</definedName>
    <definedName name="_4._sz._sor_részletezése_47_49">#REF!</definedName>
    <definedName name="_4._sz._sor_részletezése_47_49_44" localSheetId="51">#REF!</definedName>
    <definedName name="_4._sz._sor_részletezése_47_49_44" localSheetId="52">#REF!</definedName>
    <definedName name="_4._sz._sor_részletezése_47_49_44" localSheetId="53">#REF!</definedName>
    <definedName name="_4._sz._sor_részletezése_47_49_44" localSheetId="54">#REF!</definedName>
    <definedName name="_4._sz._sor_részletezése_47_49_44" localSheetId="55">#REF!</definedName>
    <definedName name="_4._sz._sor_részletezése_47_49_44" localSheetId="39">#REF!</definedName>
    <definedName name="_4._sz._sor_részletezése_47_49_44">#REF!</definedName>
    <definedName name="_4._sz._sor_részletezése_47_51" localSheetId="51">#REF!</definedName>
    <definedName name="_4._sz._sor_részletezése_47_51" localSheetId="52">#REF!</definedName>
    <definedName name="_4._sz._sor_részletezése_47_51" localSheetId="53">#REF!</definedName>
    <definedName name="_4._sz._sor_részletezése_47_51" localSheetId="54">#REF!</definedName>
    <definedName name="_4._sz._sor_részletezése_47_51" localSheetId="55">#REF!</definedName>
    <definedName name="_4._sz._sor_részletezése_47_51" localSheetId="39">#REF!</definedName>
    <definedName name="_4._sz._sor_részletezése_47_51">#REF!</definedName>
    <definedName name="_4._sz._sor_részletezése_49" localSheetId="51">#REF!</definedName>
    <definedName name="_4._sz._sor_részletezése_49" localSheetId="52">#REF!</definedName>
    <definedName name="_4._sz._sor_részletezése_49" localSheetId="53">#REF!</definedName>
    <definedName name="_4._sz._sor_részletezése_49" localSheetId="54">#REF!</definedName>
    <definedName name="_4._sz._sor_részletezése_49" localSheetId="55">#REF!</definedName>
    <definedName name="_4._sz._sor_részletezése_49" localSheetId="39">#REF!</definedName>
    <definedName name="_4._sz._sor_részletezése_49">#REF!</definedName>
    <definedName name="_4._sz._sor_részletezése_53" localSheetId="51">#REF!</definedName>
    <definedName name="_4._sz._sor_részletezése_53" localSheetId="52">#REF!</definedName>
    <definedName name="_4._sz._sor_részletezése_53" localSheetId="53">#REF!</definedName>
    <definedName name="_4._sz._sor_részletezése_53" localSheetId="54">#REF!</definedName>
    <definedName name="_4._sz._sor_részletezése_53" localSheetId="55">#REF!</definedName>
    <definedName name="_4._sz._sor_részletezése_53" localSheetId="39">#REF!</definedName>
    <definedName name="_4._sz._sor_részletezése_53">#REF!</definedName>
    <definedName name="_4._sz._sor_részletezése_55" localSheetId="51">#REF!</definedName>
    <definedName name="_4._sz._sor_részletezése_55" localSheetId="52">#REF!</definedName>
    <definedName name="_4._sz._sor_részletezése_55" localSheetId="53">#REF!</definedName>
    <definedName name="_4._sz._sor_részletezése_55" localSheetId="54">#REF!</definedName>
    <definedName name="_4._sz._sor_részletezése_55" localSheetId="55">#REF!</definedName>
    <definedName name="_4._sz._sor_részletezése_55" localSheetId="39">#REF!</definedName>
    <definedName name="_4._sz._sor_részletezése_55">#REF!</definedName>
    <definedName name="_4._sz._sor_részletezése_59">"#REF!"</definedName>
    <definedName name="_4._sz._sor_részletezése_60">"#REF!"</definedName>
    <definedName name="_4._sz._sor_részletezése_61">"#REF!"</definedName>
    <definedName name="_4._sz._sor_részletezése_62">"#REF!"</definedName>
    <definedName name="_4._sz._sor_részletezése_63">"#REF!"</definedName>
    <definedName name="A" localSheetId="51">'[1]9b.sz.mell.I.fév'!#REF!</definedName>
    <definedName name="A" localSheetId="52">'[1]9b.sz.mell.I.fév'!#REF!</definedName>
    <definedName name="A" localSheetId="53">'[1]9b.sz.mell.I.fév'!#REF!</definedName>
    <definedName name="A" localSheetId="54">'[1]9b.sz.mell.I.fév'!#REF!</definedName>
    <definedName name="A" localSheetId="55">'[1]9b.sz.mell.I.fév'!#REF!</definedName>
    <definedName name="A" localSheetId="39">'[1]9b.sz.mell.I.fév'!#REF!</definedName>
    <definedName name="A">'[1]9b.sz.mell.I.fév'!#REF!</definedName>
    <definedName name="A_61" localSheetId="51">'[1]9b.sz.mell.I.fév'!#REF!</definedName>
    <definedName name="A_61" localSheetId="52">'[1]9b.sz.mell.I.fév'!#REF!</definedName>
    <definedName name="A_61" localSheetId="53">'[1]9b.sz.mell.I.fév'!#REF!</definedName>
    <definedName name="A_61" localSheetId="54">'[1]9b.sz.mell.I.fév'!#REF!</definedName>
    <definedName name="A_61" localSheetId="55">'[1]9b.sz.mell.I.fév'!#REF!</definedName>
    <definedName name="A_61" localSheetId="39">'[1]9b.sz.mell.I.fév'!#REF!</definedName>
    <definedName name="A_61">'[1]9b.sz.mell.I.fév'!#REF!</definedName>
    <definedName name="A_62" localSheetId="51">'[1]9b.sz.mell.I.fév'!#REF!</definedName>
    <definedName name="A_62" localSheetId="52">'[1]9b.sz.mell.I.fév'!#REF!</definedName>
    <definedName name="A_62" localSheetId="53">'[1]9b.sz.mell.I.fév'!#REF!</definedName>
    <definedName name="A_62" localSheetId="54">'[1]9b.sz.mell.I.fév'!#REF!</definedName>
    <definedName name="A_62" localSheetId="55">'[1]9b.sz.mell.I.fév'!#REF!</definedName>
    <definedName name="A_62" localSheetId="39">'[1]9b.sz.mell.I.fév'!#REF!</definedName>
    <definedName name="A_62">'[1]9b.sz.mell.I.fév'!#REF!</definedName>
    <definedName name="A_63" localSheetId="51">'[1]9b.sz.mell.I.fév'!#REF!</definedName>
    <definedName name="A_63" localSheetId="52">'[1]9b.sz.mell.I.fév'!#REF!</definedName>
    <definedName name="A_63" localSheetId="53">'[1]9b.sz.mell.I.fév'!#REF!</definedName>
    <definedName name="A_63" localSheetId="54">'[1]9b.sz.mell.I.fév'!#REF!</definedName>
    <definedName name="A_63" localSheetId="55">'[1]9b.sz.mell.I.fév'!#REF!</definedName>
    <definedName name="A_63" localSheetId="39">'[1]9b.sz.mell.I.fév'!#REF!</definedName>
    <definedName name="A_63">'[1]9b.sz.mell.I.fév'!#REF!</definedName>
    <definedName name="Excel_BuiltIn_Print_Titles_1" localSheetId="48">'[1]9a.sz.mell.I.fév'!#REF!</definedName>
    <definedName name="Excel_BuiltIn_Print_Titles_1" localSheetId="49">'[1]9a.sz.mell.I.fév'!#REF!</definedName>
    <definedName name="Excel_BuiltIn_Print_Titles_1" localSheetId="50">'[1]9a.sz.mell.I.fév'!#REF!</definedName>
    <definedName name="Excel_BuiltIn_Print_Titles_1" localSheetId="51">'[1]9a.sz.mell.I.fév'!#REF!</definedName>
    <definedName name="Excel_BuiltIn_Print_Titles_1" localSheetId="52">'[1]9a.sz.mell.I.fév'!#REF!</definedName>
    <definedName name="Excel_BuiltIn_Print_Titles_1" localSheetId="53">'[1]9a.sz.mell.I.fév'!#REF!</definedName>
    <definedName name="Excel_BuiltIn_Print_Titles_1" localSheetId="54">'[1]9a.sz.mell.I.fév'!#REF!</definedName>
    <definedName name="Excel_BuiltIn_Print_Titles_1" localSheetId="55">'[1]9a.sz.mell.I.fév'!#REF!</definedName>
    <definedName name="Excel_BuiltIn_Print_Titles_1" localSheetId="39">'[1]9a.sz.mell.I.fév'!#REF!</definedName>
    <definedName name="Excel_BuiltIn_Print_Titles_1">#REF!</definedName>
    <definedName name="Excel_BuiltIn_Print_Titles_1_60" localSheetId="51">'[1]9a.sz.mell.I.fév'!#REF!</definedName>
    <definedName name="Excel_BuiltIn_Print_Titles_1_60" localSheetId="52">'[1]9a.sz.mell.I.fév'!#REF!</definedName>
    <definedName name="Excel_BuiltIn_Print_Titles_1_60" localSheetId="53">'[1]9a.sz.mell.I.fév'!#REF!</definedName>
    <definedName name="Excel_BuiltIn_Print_Titles_1_60" localSheetId="54">'[1]9a.sz.mell.I.fév'!#REF!</definedName>
    <definedName name="Excel_BuiltIn_Print_Titles_1_60" localSheetId="55">'[1]9a.sz.mell.I.fév'!#REF!</definedName>
    <definedName name="Excel_BuiltIn_Print_Titles_1_60" localSheetId="39">'[1]9a.sz.mell.I.fév'!#REF!</definedName>
    <definedName name="Excel_BuiltIn_Print_Titles_1_60">'[1]9a.sz.mell.I.fév'!#REF!</definedName>
    <definedName name="Excel_BuiltIn_Print_Titles_1_61" localSheetId="51">'[1]9a.sz.mell.I.fév'!#REF!</definedName>
    <definedName name="Excel_BuiltIn_Print_Titles_1_61" localSheetId="52">'[1]9a.sz.mell.I.fév'!#REF!</definedName>
    <definedName name="Excel_BuiltIn_Print_Titles_1_61" localSheetId="53">'[1]9a.sz.mell.I.fév'!#REF!</definedName>
    <definedName name="Excel_BuiltIn_Print_Titles_1_61" localSheetId="54">'[1]9a.sz.mell.I.fév'!#REF!</definedName>
    <definedName name="Excel_BuiltIn_Print_Titles_1_61" localSheetId="55">'[1]9a.sz.mell.I.fév'!#REF!</definedName>
    <definedName name="Excel_BuiltIn_Print_Titles_1_61" localSheetId="39">'[1]9a.sz.mell.I.fév'!#REF!</definedName>
    <definedName name="Excel_BuiltIn_Print_Titles_1_61">'[1]9a.sz.mell.I.fév'!#REF!</definedName>
    <definedName name="Excel_BuiltIn_Print_Titles_1_62" localSheetId="51">'[1]9a.sz.mell.I.fév'!#REF!</definedName>
    <definedName name="Excel_BuiltIn_Print_Titles_1_62" localSheetId="52">'[1]9a.sz.mell.I.fév'!#REF!</definedName>
    <definedName name="Excel_BuiltIn_Print_Titles_1_62" localSheetId="53">'[1]9a.sz.mell.I.fév'!#REF!</definedName>
    <definedName name="Excel_BuiltIn_Print_Titles_1_62" localSheetId="54">'[1]9a.sz.mell.I.fév'!#REF!</definedName>
    <definedName name="Excel_BuiltIn_Print_Titles_1_62" localSheetId="55">'[1]9a.sz.mell.I.fév'!#REF!</definedName>
    <definedName name="Excel_BuiltIn_Print_Titles_1_62" localSheetId="39">'[1]9a.sz.mell.I.fév'!#REF!</definedName>
    <definedName name="Excel_BuiltIn_Print_Titles_1_62">'[1]9a.sz.mell.I.fév'!#REF!</definedName>
    <definedName name="Excel_BuiltIn_Print_Titles_1_63" localSheetId="51">'[1]9a.sz.mell.I.fév'!#REF!</definedName>
    <definedName name="Excel_BuiltIn_Print_Titles_1_63" localSheetId="52">'[1]9a.sz.mell.I.fév'!#REF!</definedName>
    <definedName name="Excel_BuiltIn_Print_Titles_1_63" localSheetId="53">'[1]9a.sz.mell.I.fév'!#REF!</definedName>
    <definedName name="Excel_BuiltIn_Print_Titles_1_63" localSheetId="54">'[1]9a.sz.mell.I.fév'!#REF!</definedName>
    <definedName name="Excel_BuiltIn_Print_Titles_1_63" localSheetId="55">'[1]9a.sz.mell.I.fév'!#REF!</definedName>
    <definedName name="Excel_BuiltIn_Print_Titles_1_63" localSheetId="39">'[1]9a.sz.mell.I.fév'!#REF!</definedName>
    <definedName name="Excel_BuiltIn_Print_Titles_1_63">'[1]9a.sz.mell.I.fév'!#REF!</definedName>
    <definedName name="Excel_BuiltIn_Print_Titles_1_7" localSheetId="48">'[1]9a.sz.mell.I.fév'!#REF!</definedName>
    <definedName name="Excel_BuiltIn_Print_Titles_1_7" localSheetId="49">'[1]9a.sz.mell.I.fév'!#REF!</definedName>
    <definedName name="Excel_BuiltIn_Print_Titles_1_7" localSheetId="50">'[1]9a.sz.mell.I.fév'!#REF!</definedName>
    <definedName name="Excel_BuiltIn_Print_Titles_1_7" localSheetId="51">'[1]9a.sz.mell.I.fév'!#REF!</definedName>
    <definedName name="Excel_BuiltIn_Print_Titles_1_7" localSheetId="52">'[1]9a.sz.mell.I.fév'!#REF!</definedName>
    <definedName name="Excel_BuiltIn_Print_Titles_1_7" localSheetId="53">'[1]9a.sz.mell.I.fév'!#REF!</definedName>
    <definedName name="Excel_BuiltIn_Print_Titles_1_7" localSheetId="54">'[1]9a.sz.mell.I.fév'!#REF!</definedName>
    <definedName name="Excel_BuiltIn_Print_Titles_1_7" localSheetId="55">'[1]9a.sz.mell.I.fév'!#REF!</definedName>
    <definedName name="Excel_BuiltIn_Print_Titles_1_7" localSheetId="39">'[1]9a.sz.mell.I.fév'!#REF!</definedName>
    <definedName name="Excel_BuiltIn_Print_Titles_1_7">#REF!</definedName>
    <definedName name="Excel_BuiltIn_Print_Titles_1_7_60" localSheetId="51">'[1]9a.sz.mell.I.fév'!#REF!</definedName>
    <definedName name="Excel_BuiltIn_Print_Titles_1_7_60" localSheetId="52">'[1]9a.sz.mell.I.fév'!#REF!</definedName>
    <definedName name="Excel_BuiltIn_Print_Titles_1_7_60" localSheetId="53">'[1]9a.sz.mell.I.fév'!#REF!</definedName>
    <definedName name="Excel_BuiltIn_Print_Titles_1_7_60" localSheetId="54">'[1]9a.sz.mell.I.fév'!#REF!</definedName>
    <definedName name="Excel_BuiltIn_Print_Titles_1_7_60" localSheetId="55">'[1]9a.sz.mell.I.fév'!#REF!</definedName>
    <definedName name="Excel_BuiltIn_Print_Titles_1_7_60" localSheetId="39">'[1]9a.sz.mell.I.fév'!#REF!</definedName>
    <definedName name="Excel_BuiltIn_Print_Titles_1_7_60">'[1]9a.sz.mell.I.fév'!#REF!</definedName>
    <definedName name="Excel_BuiltIn_Print_Titles_1_7_61" localSheetId="51">'[1]9a.sz.mell.I.fév'!#REF!</definedName>
    <definedName name="Excel_BuiltIn_Print_Titles_1_7_61" localSheetId="52">'[1]9a.sz.mell.I.fév'!#REF!</definedName>
    <definedName name="Excel_BuiltIn_Print_Titles_1_7_61" localSheetId="53">'[1]9a.sz.mell.I.fév'!#REF!</definedName>
    <definedName name="Excel_BuiltIn_Print_Titles_1_7_61" localSheetId="54">'[1]9a.sz.mell.I.fév'!#REF!</definedName>
    <definedName name="Excel_BuiltIn_Print_Titles_1_7_61" localSheetId="55">'[1]9a.sz.mell.I.fév'!#REF!</definedName>
    <definedName name="Excel_BuiltIn_Print_Titles_1_7_61" localSheetId="39">'[1]9a.sz.mell.I.fév'!#REF!</definedName>
    <definedName name="Excel_BuiltIn_Print_Titles_1_7_61">'[1]9a.sz.mell.I.fév'!#REF!</definedName>
    <definedName name="Excel_BuiltIn_Print_Titles_1_7_62" localSheetId="51">'[1]9a.sz.mell.I.fév'!#REF!</definedName>
    <definedName name="Excel_BuiltIn_Print_Titles_1_7_62" localSheetId="52">'[1]9a.sz.mell.I.fév'!#REF!</definedName>
    <definedName name="Excel_BuiltIn_Print_Titles_1_7_62" localSheetId="53">'[1]9a.sz.mell.I.fév'!#REF!</definedName>
    <definedName name="Excel_BuiltIn_Print_Titles_1_7_62" localSheetId="54">'[1]9a.sz.mell.I.fév'!#REF!</definedName>
    <definedName name="Excel_BuiltIn_Print_Titles_1_7_62" localSheetId="55">'[1]9a.sz.mell.I.fév'!#REF!</definedName>
    <definedName name="Excel_BuiltIn_Print_Titles_1_7_62" localSheetId="39">'[1]9a.sz.mell.I.fév'!#REF!</definedName>
    <definedName name="Excel_BuiltIn_Print_Titles_1_7_62">'[1]9a.sz.mell.I.fév'!#REF!</definedName>
    <definedName name="Excel_BuiltIn_Print_Titles_1_7_63" localSheetId="51">'[1]9a.sz.mell.I.fév'!#REF!</definedName>
    <definedName name="Excel_BuiltIn_Print_Titles_1_7_63" localSheetId="52">'[1]9a.sz.mell.I.fév'!#REF!</definedName>
    <definedName name="Excel_BuiltIn_Print_Titles_1_7_63" localSheetId="53">'[1]9a.sz.mell.I.fév'!#REF!</definedName>
    <definedName name="Excel_BuiltIn_Print_Titles_1_7_63" localSheetId="54">'[1]9a.sz.mell.I.fév'!#REF!</definedName>
    <definedName name="Excel_BuiltIn_Print_Titles_1_7_63" localSheetId="55">'[1]9a.sz.mell.I.fév'!#REF!</definedName>
    <definedName name="Excel_BuiltIn_Print_Titles_1_7_63" localSheetId="39">'[1]9a.sz.mell.I.fév'!#REF!</definedName>
    <definedName name="Excel_BuiltIn_Print_Titles_1_7_63">'[1]9a.sz.mell.I.fév'!#REF!</definedName>
    <definedName name="Excel_BuiltIn_Print_Titles_1_8" localSheetId="48">'[1]9a.sz.mell.I.fév'!#REF!</definedName>
    <definedName name="Excel_BuiltIn_Print_Titles_1_8" localSheetId="49">'[1]9a.sz.mell.I.fév'!#REF!</definedName>
    <definedName name="Excel_BuiltIn_Print_Titles_1_8" localSheetId="50">'[1]9a.sz.mell.I.fév'!#REF!</definedName>
    <definedName name="Excel_BuiltIn_Print_Titles_1_8" localSheetId="51">'[1]9a.sz.mell.I.fév'!#REF!</definedName>
    <definedName name="Excel_BuiltIn_Print_Titles_1_8" localSheetId="52">'[1]9a.sz.mell.I.fév'!#REF!</definedName>
    <definedName name="Excel_BuiltIn_Print_Titles_1_8" localSheetId="53">'[1]9a.sz.mell.I.fév'!#REF!</definedName>
    <definedName name="Excel_BuiltIn_Print_Titles_1_8" localSheetId="54">'[1]9a.sz.mell.I.fév'!#REF!</definedName>
    <definedName name="Excel_BuiltIn_Print_Titles_1_8" localSheetId="55">'[1]9a.sz.mell.I.fév'!#REF!</definedName>
    <definedName name="Excel_BuiltIn_Print_Titles_1_8" localSheetId="39">'[1]9a.sz.mell.I.fév'!#REF!</definedName>
    <definedName name="Excel_BuiltIn_Print_Titles_1_8">#REF!</definedName>
    <definedName name="Excel_BuiltIn_Print_Titles_1_8_60" localSheetId="51">'[1]9a.sz.mell.I.fév'!#REF!</definedName>
    <definedName name="Excel_BuiltIn_Print_Titles_1_8_60" localSheetId="52">'[1]9a.sz.mell.I.fév'!#REF!</definedName>
    <definedName name="Excel_BuiltIn_Print_Titles_1_8_60" localSheetId="53">'[1]9a.sz.mell.I.fév'!#REF!</definedName>
    <definedName name="Excel_BuiltIn_Print_Titles_1_8_60" localSheetId="54">'[1]9a.sz.mell.I.fév'!#REF!</definedName>
    <definedName name="Excel_BuiltIn_Print_Titles_1_8_60" localSheetId="55">'[1]9a.sz.mell.I.fév'!#REF!</definedName>
    <definedName name="Excel_BuiltIn_Print_Titles_1_8_60" localSheetId="39">'[1]9a.sz.mell.I.fév'!#REF!</definedName>
    <definedName name="Excel_BuiltIn_Print_Titles_1_8_60">'[1]9a.sz.mell.I.fév'!#REF!</definedName>
    <definedName name="Excel_BuiltIn_Print_Titles_1_8_61" localSheetId="51">'[1]9a.sz.mell.I.fév'!#REF!</definedName>
    <definedName name="Excel_BuiltIn_Print_Titles_1_8_61" localSheetId="52">'[1]9a.sz.mell.I.fév'!#REF!</definedName>
    <definedName name="Excel_BuiltIn_Print_Titles_1_8_61" localSheetId="53">'[1]9a.sz.mell.I.fév'!#REF!</definedName>
    <definedName name="Excel_BuiltIn_Print_Titles_1_8_61" localSheetId="54">'[1]9a.sz.mell.I.fév'!#REF!</definedName>
    <definedName name="Excel_BuiltIn_Print_Titles_1_8_61" localSheetId="55">'[1]9a.sz.mell.I.fév'!#REF!</definedName>
    <definedName name="Excel_BuiltIn_Print_Titles_1_8_61" localSheetId="39">'[1]9a.sz.mell.I.fév'!#REF!</definedName>
    <definedName name="Excel_BuiltIn_Print_Titles_1_8_61">'[1]9a.sz.mell.I.fév'!#REF!</definedName>
    <definedName name="Excel_BuiltIn_Print_Titles_1_8_62" localSheetId="51">'[1]9a.sz.mell.I.fév'!#REF!</definedName>
    <definedName name="Excel_BuiltIn_Print_Titles_1_8_62" localSheetId="52">'[1]9a.sz.mell.I.fév'!#REF!</definedName>
    <definedName name="Excel_BuiltIn_Print_Titles_1_8_62" localSheetId="53">'[1]9a.sz.mell.I.fév'!#REF!</definedName>
    <definedName name="Excel_BuiltIn_Print_Titles_1_8_62" localSheetId="54">'[1]9a.sz.mell.I.fév'!#REF!</definedName>
    <definedName name="Excel_BuiltIn_Print_Titles_1_8_62" localSheetId="55">'[1]9a.sz.mell.I.fév'!#REF!</definedName>
    <definedName name="Excel_BuiltIn_Print_Titles_1_8_62" localSheetId="39">'[1]9a.sz.mell.I.fév'!#REF!</definedName>
    <definedName name="Excel_BuiltIn_Print_Titles_1_8_62">'[1]9a.sz.mell.I.fév'!#REF!</definedName>
    <definedName name="Excel_BuiltIn_Print_Titles_1_8_63" localSheetId="51">'[1]9a.sz.mell.I.fév'!#REF!</definedName>
    <definedName name="Excel_BuiltIn_Print_Titles_1_8_63" localSheetId="52">'[1]9a.sz.mell.I.fév'!#REF!</definedName>
    <definedName name="Excel_BuiltIn_Print_Titles_1_8_63" localSheetId="53">'[1]9a.sz.mell.I.fév'!#REF!</definedName>
    <definedName name="Excel_BuiltIn_Print_Titles_1_8_63" localSheetId="54">'[1]9a.sz.mell.I.fév'!#REF!</definedName>
    <definedName name="Excel_BuiltIn_Print_Titles_1_8_63" localSheetId="55">'[1]9a.sz.mell.I.fév'!#REF!</definedName>
    <definedName name="Excel_BuiltIn_Print_Titles_1_8_63" localSheetId="39">'[1]9a.sz.mell.I.fév'!#REF!</definedName>
    <definedName name="Excel_BuiltIn_Print_Titles_1_8_63">'[1]9a.sz.mell.I.fév'!#REF!</definedName>
    <definedName name="Excel_BuiltIn_Print_Titles_1_9" localSheetId="48">'[1]9a.sz.mell.I.fév'!#REF!</definedName>
    <definedName name="Excel_BuiltIn_Print_Titles_1_9" localSheetId="49">'[1]9a.sz.mell.I.fév'!#REF!</definedName>
    <definedName name="Excel_BuiltIn_Print_Titles_1_9" localSheetId="50">'[1]9a.sz.mell.I.fév'!#REF!</definedName>
    <definedName name="Excel_BuiltIn_Print_Titles_1_9" localSheetId="51">'[1]9a.sz.mell.I.fév'!#REF!</definedName>
    <definedName name="Excel_BuiltIn_Print_Titles_1_9" localSheetId="52">'[1]9a.sz.mell.I.fév'!#REF!</definedName>
    <definedName name="Excel_BuiltIn_Print_Titles_1_9" localSheetId="53">'[1]9a.sz.mell.I.fév'!#REF!</definedName>
    <definedName name="Excel_BuiltIn_Print_Titles_1_9" localSheetId="54">'[1]9a.sz.mell.I.fév'!#REF!</definedName>
    <definedName name="Excel_BuiltIn_Print_Titles_1_9" localSheetId="55">'[1]9a.sz.mell.I.fév'!#REF!</definedName>
    <definedName name="Excel_BuiltIn_Print_Titles_1_9" localSheetId="39">'[1]9a.sz.mell.I.fév'!#REF!</definedName>
    <definedName name="Excel_BuiltIn_Print_Titles_1_9">#REF!</definedName>
    <definedName name="Excel_BuiltIn_Print_Titles_1_9_60" localSheetId="51">'[1]9a.sz.mell.I.fév'!#REF!</definedName>
    <definedName name="Excel_BuiltIn_Print_Titles_1_9_60" localSheetId="52">'[1]9a.sz.mell.I.fév'!#REF!</definedName>
    <definedName name="Excel_BuiltIn_Print_Titles_1_9_60" localSheetId="53">'[1]9a.sz.mell.I.fév'!#REF!</definedName>
    <definedName name="Excel_BuiltIn_Print_Titles_1_9_60" localSheetId="54">'[1]9a.sz.mell.I.fév'!#REF!</definedName>
    <definedName name="Excel_BuiltIn_Print_Titles_1_9_60" localSheetId="55">'[1]9a.sz.mell.I.fév'!#REF!</definedName>
    <definedName name="Excel_BuiltIn_Print_Titles_1_9_60" localSheetId="39">'[1]9a.sz.mell.I.fév'!#REF!</definedName>
    <definedName name="Excel_BuiltIn_Print_Titles_1_9_60">'[1]9a.sz.mell.I.fév'!#REF!</definedName>
    <definedName name="Excel_BuiltIn_Print_Titles_1_9_61" localSheetId="51">'[1]9a.sz.mell.I.fév'!#REF!</definedName>
    <definedName name="Excel_BuiltIn_Print_Titles_1_9_61" localSheetId="52">'[1]9a.sz.mell.I.fév'!#REF!</definedName>
    <definedName name="Excel_BuiltIn_Print_Titles_1_9_61" localSheetId="53">'[1]9a.sz.mell.I.fév'!#REF!</definedName>
    <definedName name="Excel_BuiltIn_Print_Titles_1_9_61" localSheetId="54">'[1]9a.sz.mell.I.fév'!#REF!</definedName>
    <definedName name="Excel_BuiltIn_Print_Titles_1_9_61" localSheetId="55">'[1]9a.sz.mell.I.fév'!#REF!</definedName>
    <definedName name="Excel_BuiltIn_Print_Titles_1_9_61" localSheetId="39">'[1]9a.sz.mell.I.fév'!#REF!</definedName>
    <definedName name="Excel_BuiltIn_Print_Titles_1_9_61">'[1]9a.sz.mell.I.fév'!#REF!</definedName>
    <definedName name="Excel_BuiltIn_Print_Titles_1_9_62" localSheetId="51">'[1]9a.sz.mell.I.fév'!#REF!</definedName>
    <definedName name="Excel_BuiltIn_Print_Titles_1_9_62" localSheetId="52">'[1]9a.sz.mell.I.fév'!#REF!</definedName>
    <definedName name="Excel_BuiltIn_Print_Titles_1_9_62" localSheetId="53">'[1]9a.sz.mell.I.fév'!#REF!</definedName>
    <definedName name="Excel_BuiltIn_Print_Titles_1_9_62" localSheetId="54">'[1]9a.sz.mell.I.fév'!#REF!</definedName>
    <definedName name="Excel_BuiltIn_Print_Titles_1_9_62" localSheetId="55">'[1]9a.sz.mell.I.fév'!#REF!</definedName>
    <definedName name="Excel_BuiltIn_Print_Titles_1_9_62" localSheetId="39">'[1]9a.sz.mell.I.fév'!#REF!</definedName>
    <definedName name="Excel_BuiltIn_Print_Titles_1_9_62">'[1]9a.sz.mell.I.fév'!#REF!</definedName>
    <definedName name="Excel_BuiltIn_Print_Titles_1_9_63" localSheetId="51">'[1]9a.sz.mell.I.fév'!#REF!</definedName>
    <definedName name="Excel_BuiltIn_Print_Titles_1_9_63" localSheetId="52">'[1]9a.sz.mell.I.fév'!#REF!</definedName>
    <definedName name="Excel_BuiltIn_Print_Titles_1_9_63" localSheetId="53">'[1]9a.sz.mell.I.fév'!#REF!</definedName>
    <definedName name="Excel_BuiltIn_Print_Titles_1_9_63" localSheetId="54">'[1]9a.sz.mell.I.fév'!#REF!</definedName>
    <definedName name="Excel_BuiltIn_Print_Titles_1_9_63" localSheetId="55">'[1]9a.sz.mell.I.fév'!#REF!</definedName>
    <definedName name="Excel_BuiltIn_Print_Titles_1_9_63" localSheetId="39">'[1]9a.sz.mell.I.fév'!#REF!</definedName>
    <definedName name="Excel_BuiltIn_Print_Titles_1_9_63">'[1]9a.sz.mell.I.fév'!#REF!</definedName>
    <definedName name="Excel_BuiltIn_Print_Titles_2" localSheetId="48">'[1]9b.sz.mell.I.fév'!#REF!</definedName>
    <definedName name="Excel_BuiltIn_Print_Titles_2" localSheetId="49">'[1]9b.sz.mell.I.fév'!#REF!</definedName>
    <definedName name="Excel_BuiltIn_Print_Titles_2" localSheetId="50">'[1]9b.sz.mell.I.fév'!#REF!</definedName>
    <definedName name="Excel_BuiltIn_Print_Titles_2" localSheetId="51">'[1]9b.sz.mell.I.fév'!#REF!</definedName>
    <definedName name="Excel_BuiltIn_Print_Titles_2" localSheetId="52">'[1]9b.sz.mell.I.fév'!#REF!</definedName>
    <definedName name="Excel_BuiltIn_Print_Titles_2" localSheetId="53">'[1]9b.sz.mell.I.fév'!#REF!</definedName>
    <definedName name="Excel_BuiltIn_Print_Titles_2" localSheetId="54">'[1]9b.sz.mell.I.fév'!#REF!</definedName>
    <definedName name="Excel_BuiltIn_Print_Titles_2" localSheetId="55">'[1]9b.sz.mell.I.fév'!#REF!</definedName>
    <definedName name="Excel_BuiltIn_Print_Titles_2" localSheetId="39">'[1]9b.sz.mell.I.fév'!#REF!</definedName>
    <definedName name="Excel_BuiltIn_Print_Titles_2">#REF!</definedName>
    <definedName name="Excel_BuiltIn_Print_Titles_2_60" localSheetId="51">'[1]9b.sz.mell.I.fév'!#REF!</definedName>
    <definedName name="Excel_BuiltIn_Print_Titles_2_60" localSheetId="52">'[1]9b.sz.mell.I.fév'!#REF!</definedName>
    <definedName name="Excel_BuiltIn_Print_Titles_2_60" localSheetId="53">'[1]9b.sz.mell.I.fév'!#REF!</definedName>
    <definedName name="Excel_BuiltIn_Print_Titles_2_60" localSheetId="54">'[1]9b.sz.mell.I.fév'!#REF!</definedName>
    <definedName name="Excel_BuiltIn_Print_Titles_2_60" localSheetId="55">'[1]9b.sz.mell.I.fév'!#REF!</definedName>
    <definedName name="Excel_BuiltIn_Print_Titles_2_60" localSheetId="39">'[1]9b.sz.mell.I.fév'!#REF!</definedName>
    <definedName name="Excel_BuiltIn_Print_Titles_2_60">'[1]9b.sz.mell.I.fév'!#REF!</definedName>
    <definedName name="Excel_BuiltIn_Print_Titles_2_61" localSheetId="51">'[1]9b.sz.mell.I.fév'!#REF!</definedName>
    <definedName name="Excel_BuiltIn_Print_Titles_2_61" localSheetId="52">'[1]9b.sz.mell.I.fév'!#REF!</definedName>
    <definedName name="Excel_BuiltIn_Print_Titles_2_61" localSheetId="53">'[1]9b.sz.mell.I.fév'!#REF!</definedName>
    <definedName name="Excel_BuiltIn_Print_Titles_2_61" localSheetId="54">'[1]9b.sz.mell.I.fév'!#REF!</definedName>
    <definedName name="Excel_BuiltIn_Print_Titles_2_61" localSheetId="55">'[1]9b.sz.mell.I.fév'!#REF!</definedName>
    <definedName name="Excel_BuiltIn_Print_Titles_2_61" localSheetId="39">'[1]9b.sz.mell.I.fév'!#REF!</definedName>
    <definedName name="Excel_BuiltIn_Print_Titles_2_61">'[1]9b.sz.mell.I.fév'!#REF!</definedName>
    <definedName name="Excel_BuiltIn_Print_Titles_2_62" localSheetId="51">'[1]9b.sz.mell.I.fév'!#REF!</definedName>
    <definedName name="Excel_BuiltIn_Print_Titles_2_62" localSheetId="52">'[1]9b.sz.mell.I.fév'!#REF!</definedName>
    <definedName name="Excel_BuiltIn_Print_Titles_2_62" localSheetId="53">'[1]9b.sz.mell.I.fév'!#REF!</definedName>
    <definedName name="Excel_BuiltIn_Print_Titles_2_62" localSheetId="54">'[1]9b.sz.mell.I.fév'!#REF!</definedName>
    <definedName name="Excel_BuiltIn_Print_Titles_2_62" localSheetId="55">'[1]9b.sz.mell.I.fév'!#REF!</definedName>
    <definedName name="Excel_BuiltIn_Print_Titles_2_62" localSheetId="39">'[1]9b.sz.mell.I.fév'!#REF!</definedName>
    <definedName name="Excel_BuiltIn_Print_Titles_2_62">'[1]9b.sz.mell.I.fév'!#REF!</definedName>
    <definedName name="Excel_BuiltIn_Print_Titles_2_63" localSheetId="51">'[1]9b.sz.mell.I.fév'!#REF!</definedName>
    <definedName name="Excel_BuiltIn_Print_Titles_2_63" localSheetId="52">'[1]9b.sz.mell.I.fév'!#REF!</definedName>
    <definedName name="Excel_BuiltIn_Print_Titles_2_63" localSheetId="53">'[1]9b.sz.mell.I.fév'!#REF!</definedName>
    <definedName name="Excel_BuiltIn_Print_Titles_2_63" localSheetId="54">'[1]9b.sz.mell.I.fév'!#REF!</definedName>
    <definedName name="Excel_BuiltIn_Print_Titles_2_63" localSheetId="55">'[1]9b.sz.mell.I.fév'!#REF!</definedName>
    <definedName name="Excel_BuiltIn_Print_Titles_2_63" localSheetId="39">'[1]9b.sz.mell.I.fév'!#REF!</definedName>
    <definedName name="Excel_BuiltIn_Print_Titles_2_63">'[1]9b.sz.mell.I.fév'!#REF!</definedName>
    <definedName name="Excel_BuiltIn_Print_Titles_2_7" localSheetId="48">'[1]9b.sz.mell.I.fév'!#REF!</definedName>
    <definedName name="Excel_BuiltIn_Print_Titles_2_7" localSheetId="49">'[1]9b.sz.mell.I.fév'!#REF!</definedName>
    <definedName name="Excel_BuiltIn_Print_Titles_2_7" localSheetId="50">'[1]9b.sz.mell.I.fév'!#REF!</definedName>
    <definedName name="Excel_BuiltIn_Print_Titles_2_7" localSheetId="51">'[1]9b.sz.mell.I.fév'!#REF!</definedName>
    <definedName name="Excel_BuiltIn_Print_Titles_2_7" localSheetId="52">'[1]9b.sz.mell.I.fév'!#REF!</definedName>
    <definedName name="Excel_BuiltIn_Print_Titles_2_7" localSheetId="53">'[1]9b.sz.mell.I.fév'!#REF!</definedName>
    <definedName name="Excel_BuiltIn_Print_Titles_2_7" localSheetId="54">'[1]9b.sz.mell.I.fév'!#REF!</definedName>
    <definedName name="Excel_BuiltIn_Print_Titles_2_7" localSheetId="55">'[1]9b.sz.mell.I.fév'!#REF!</definedName>
    <definedName name="Excel_BuiltIn_Print_Titles_2_7" localSheetId="39">'[1]9b.sz.mell.I.fév'!#REF!</definedName>
    <definedName name="Excel_BuiltIn_Print_Titles_2_7">#REF!</definedName>
    <definedName name="Excel_BuiltIn_Print_Titles_2_7_60" localSheetId="51">'[1]9b.sz.mell.I.fév'!#REF!</definedName>
    <definedName name="Excel_BuiltIn_Print_Titles_2_7_60" localSheetId="52">'[1]9b.sz.mell.I.fév'!#REF!</definedName>
    <definedName name="Excel_BuiltIn_Print_Titles_2_7_60" localSheetId="53">'[1]9b.sz.mell.I.fév'!#REF!</definedName>
    <definedName name="Excel_BuiltIn_Print_Titles_2_7_60" localSheetId="54">'[1]9b.sz.mell.I.fév'!#REF!</definedName>
    <definedName name="Excel_BuiltIn_Print_Titles_2_7_60" localSheetId="55">'[1]9b.sz.mell.I.fév'!#REF!</definedName>
    <definedName name="Excel_BuiltIn_Print_Titles_2_7_60" localSheetId="39">'[1]9b.sz.mell.I.fév'!#REF!</definedName>
    <definedName name="Excel_BuiltIn_Print_Titles_2_7_60">'[1]9b.sz.mell.I.fév'!#REF!</definedName>
    <definedName name="Excel_BuiltIn_Print_Titles_2_7_61" localSheetId="51">'[1]9b.sz.mell.I.fév'!#REF!</definedName>
    <definedName name="Excel_BuiltIn_Print_Titles_2_7_61" localSheetId="52">'[1]9b.sz.mell.I.fév'!#REF!</definedName>
    <definedName name="Excel_BuiltIn_Print_Titles_2_7_61" localSheetId="53">'[1]9b.sz.mell.I.fév'!#REF!</definedName>
    <definedName name="Excel_BuiltIn_Print_Titles_2_7_61" localSheetId="54">'[1]9b.sz.mell.I.fév'!#REF!</definedName>
    <definedName name="Excel_BuiltIn_Print_Titles_2_7_61" localSheetId="55">'[1]9b.sz.mell.I.fév'!#REF!</definedName>
    <definedName name="Excel_BuiltIn_Print_Titles_2_7_61" localSheetId="39">'[1]9b.sz.mell.I.fév'!#REF!</definedName>
    <definedName name="Excel_BuiltIn_Print_Titles_2_7_61">'[1]9b.sz.mell.I.fév'!#REF!</definedName>
    <definedName name="Excel_BuiltIn_Print_Titles_2_7_62" localSheetId="51">'[1]9b.sz.mell.I.fév'!#REF!</definedName>
    <definedName name="Excel_BuiltIn_Print_Titles_2_7_62" localSheetId="52">'[1]9b.sz.mell.I.fév'!#REF!</definedName>
    <definedName name="Excel_BuiltIn_Print_Titles_2_7_62" localSheetId="53">'[1]9b.sz.mell.I.fév'!#REF!</definedName>
    <definedName name="Excel_BuiltIn_Print_Titles_2_7_62" localSheetId="54">'[1]9b.sz.mell.I.fév'!#REF!</definedName>
    <definedName name="Excel_BuiltIn_Print_Titles_2_7_62" localSheetId="55">'[1]9b.sz.mell.I.fév'!#REF!</definedName>
    <definedName name="Excel_BuiltIn_Print_Titles_2_7_62" localSheetId="39">'[1]9b.sz.mell.I.fév'!#REF!</definedName>
    <definedName name="Excel_BuiltIn_Print_Titles_2_7_62">'[1]9b.sz.mell.I.fév'!#REF!</definedName>
    <definedName name="Excel_BuiltIn_Print_Titles_2_7_63" localSheetId="51">'[1]9b.sz.mell.I.fév'!#REF!</definedName>
    <definedName name="Excel_BuiltIn_Print_Titles_2_7_63" localSheetId="52">'[1]9b.sz.mell.I.fév'!#REF!</definedName>
    <definedName name="Excel_BuiltIn_Print_Titles_2_7_63" localSheetId="53">'[1]9b.sz.mell.I.fév'!#REF!</definedName>
    <definedName name="Excel_BuiltIn_Print_Titles_2_7_63" localSheetId="54">'[1]9b.sz.mell.I.fév'!#REF!</definedName>
    <definedName name="Excel_BuiltIn_Print_Titles_2_7_63" localSheetId="55">'[1]9b.sz.mell.I.fév'!#REF!</definedName>
    <definedName name="Excel_BuiltIn_Print_Titles_2_7_63" localSheetId="39">'[1]9b.sz.mell.I.fév'!#REF!</definedName>
    <definedName name="Excel_BuiltIn_Print_Titles_2_7_63">'[1]9b.sz.mell.I.fév'!#REF!</definedName>
    <definedName name="Excel_BuiltIn_Print_Titles_2_8" localSheetId="48">'[1]9b.sz.mell.I.fév'!#REF!</definedName>
    <definedName name="Excel_BuiltIn_Print_Titles_2_8" localSheetId="49">'[1]9b.sz.mell.I.fév'!#REF!</definedName>
    <definedName name="Excel_BuiltIn_Print_Titles_2_8" localSheetId="50">'[1]9b.sz.mell.I.fév'!#REF!</definedName>
    <definedName name="Excel_BuiltIn_Print_Titles_2_8" localSheetId="51">'[1]9b.sz.mell.I.fév'!#REF!</definedName>
    <definedName name="Excel_BuiltIn_Print_Titles_2_8" localSheetId="52">'[1]9b.sz.mell.I.fév'!#REF!</definedName>
    <definedName name="Excel_BuiltIn_Print_Titles_2_8" localSheetId="53">'[1]9b.sz.mell.I.fév'!#REF!</definedName>
    <definedName name="Excel_BuiltIn_Print_Titles_2_8" localSheetId="54">'[1]9b.sz.mell.I.fév'!#REF!</definedName>
    <definedName name="Excel_BuiltIn_Print_Titles_2_8" localSheetId="55">'[1]9b.sz.mell.I.fév'!#REF!</definedName>
    <definedName name="Excel_BuiltIn_Print_Titles_2_8" localSheetId="39">'[1]9b.sz.mell.I.fév'!#REF!</definedName>
    <definedName name="Excel_BuiltIn_Print_Titles_2_8">#REF!</definedName>
    <definedName name="Excel_BuiltIn_Print_Titles_2_8_60" localSheetId="51">'[1]9b.sz.mell.I.fév'!#REF!</definedName>
    <definedName name="Excel_BuiltIn_Print_Titles_2_8_60" localSheetId="52">'[1]9b.sz.mell.I.fév'!#REF!</definedName>
    <definedName name="Excel_BuiltIn_Print_Titles_2_8_60" localSheetId="53">'[1]9b.sz.mell.I.fév'!#REF!</definedName>
    <definedName name="Excel_BuiltIn_Print_Titles_2_8_60" localSheetId="54">'[1]9b.sz.mell.I.fév'!#REF!</definedName>
    <definedName name="Excel_BuiltIn_Print_Titles_2_8_60" localSheetId="55">'[1]9b.sz.mell.I.fév'!#REF!</definedName>
    <definedName name="Excel_BuiltIn_Print_Titles_2_8_60" localSheetId="39">'[1]9b.sz.mell.I.fév'!#REF!</definedName>
    <definedName name="Excel_BuiltIn_Print_Titles_2_8_60">'[1]9b.sz.mell.I.fév'!#REF!</definedName>
    <definedName name="Excel_BuiltIn_Print_Titles_2_8_61" localSheetId="51">'[1]9b.sz.mell.I.fév'!#REF!</definedName>
    <definedName name="Excel_BuiltIn_Print_Titles_2_8_61" localSheetId="52">'[1]9b.sz.mell.I.fév'!#REF!</definedName>
    <definedName name="Excel_BuiltIn_Print_Titles_2_8_61" localSheetId="53">'[1]9b.sz.mell.I.fév'!#REF!</definedName>
    <definedName name="Excel_BuiltIn_Print_Titles_2_8_61" localSheetId="54">'[1]9b.sz.mell.I.fév'!#REF!</definedName>
    <definedName name="Excel_BuiltIn_Print_Titles_2_8_61" localSheetId="55">'[1]9b.sz.mell.I.fév'!#REF!</definedName>
    <definedName name="Excel_BuiltIn_Print_Titles_2_8_61" localSheetId="39">'[1]9b.sz.mell.I.fév'!#REF!</definedName>
    <definedName name="Excel_BuiltIn_Print_Titles_2_8_61">'[1]9b.sz.mell.I.fév'!#REF!</definedName>
    <definedName name="Excel_BuiltIn_Print_Titles_2_8_62" localSheetId="51">'[1]9b.sz.mell.I.fév'!#REF!</definedName>
    <definedName name="Excel_BuiltIn_Print_Titles_2_8_62" localSheetId="52">'[1]9b.sz.mell.I.fév'!#REF!</definedName>
    <definedName name="Excel_BuiltIn_Print_Titles_2_8_62" localSheetId="53">'[1]9b.sz.mell.I.fév'!#REF!</definedName>
    <definedName name="Excel_BuiltIn_Print_Titles_2_8_62" localSheetId="54">'[1]9b.sz.mell.I.fév'!#REF!</definedName>
    <definedName name="Excel_BuiltIn_Print_Titles_2_8_62" localSheetId="55">'[1]9b.sz.mell.I.fév'!#REF!</definedName>
    <definedName name="Excel_BuiltIn_Print_Titles_2_8_62" localSheetId="39">'[1]9b.sz.mell.I.fév'!#REF!</definedName>
    <definedName name="Excel_BuiltIn_Print_Titles_2_8_62">'[1]9b.sz.mell.I.fév'!#REF!</definedName>
    <definedName name="Excel_BuiltIn_Print_Titles_2_8_63" localSheetId="51">'[1]9b.sz.mell.I.fév'!#REF!</definedName>
    <definedName name="Excel_BuiltIn_Print_Titles_2_8_63" localSheetId="52">'[1]9b.sz.mell.I.fév'!#REF!</definedName>
    <definedName name="Excel_BuiltIn_Print_Titles_2_8_63" localSheetId="53">'[1]9b.sz.mell.I.fév'!#REF!</definedName>
    <definedName name="Excel_BuiltIn_Print_Titles_2_8_63" localSheetId="54">'[1]9b.sz.mell.I.fév'!#REF!</definedName>
    <definedName name="Excel_BuiltIn_Print_Titles_2_8_63" localSheetId="55">'[1]9b.sz.mell.I.fév'!#REF!</definedName>
    <definedName name="Excel_BuiltIn_Print_Titles_2_8_63" localSheetId="39">'[1]9b.sz.mell.I.fév'!#REF!</definedName>
    <definedName name="Excel_BuiltIn_Print_Titles_2_8_63">'[1]9b.sz.mell.I.fév'!#REF!</definedName>
    <definedName name="Excel_BuiltIn_Print_Titles_2_9" localSheetId="48">'[1]9b.sz.mell.I.fév'!#REF!</definedName>
    <definedName name="Excel_BuiltIn_Print_Titles_2_9" localSheetId="49">'[1]9b.sz.mell.I.fév'!#REF!</definedName>
    <definedName name="Excel_BuiltIn_Print_Titles_2_9" localSheetId="50">'[1]9b.sz.mell.I.fév'!#REF!</definedName>
    <definedName name="Excel_BuiltIn_Print_Titles_2_9" localSheetId="51">'[1]9b.sz.mell.I.fév'!#REF!</definedName>
    <definedName name="Excel_BuiltIn_Print_Titles_2_9" localSheetId="52">'[1]9b.sz.mell.I.fév'!#REF!</definedName>
    <definedName name="Excel_BuiltIn_Print_Titles_2_9" localSheetId="53">'[1]9b.sz.mell.I.fév'!#REF!</definedName>
    <definedName name="Excel_BuiltIn_Print_Titles_2_9" localSheetId="54">'[1]9b.sz.mell.I.fév'!#REF!</definedName>
    <definedName name="Excel_BuiltIn_Print_Titles_2_9" localSheetId="55">'[1]9b.sz.mell.I.fév'!#REF!</definedName>
    <definedName name="Excel_BuiltIn_Print_Titles_2_9" localSheetId="39">'[1]9b.sz.mell.I.fév'!#REF!</definedName>
    <definedName name="Excel_BuiltIn_Print_Titles_2_9">#REF!</definedName>
    <definedName name="Excel_BuiltIn_Print_Titles_2_9_60" localSheetId="51">'[1]9b.sz.mell.I.fév'!#REF!</definedName>
    <definedName name="Excel_BuiltIn_Print_Titles_2_9_60" localSheetId="52">'[1]9b.sz.mell.I.fév'!#REF!</definedName>
    <definedName name="Excel_BuiltIn_Print_Titles_2_9_60" localSheetId="53">'[1]9b.sz.mell.I.fév'!#REF!</definedName>
    <definedName name="Excel_BuiltIn_Print_Titles_2_9_60" localSheetId="54">'[1]9b.sz.mell.I.fév'!#REF!</definedName>
    <definedName name="Excel_BuiltIn_Print_Titles_2_9_60" localSheetId="55">'[1]9b.sz.mell.I.fév'!#REF!</definedName>
    <definedName name="Excel_BuiltIn_Print_Titles_2_9_60" localSheetId="39">'[1]9b.sz.mell.I.fév'!#REF!</definedName>
    <definedName name="Excel_BuiltIn_Print_Titles_2_9_60">'[1]9b.sz.mell.I.fév'!#REF!</definedName>
    <definedName name="Excel_BuiltIn_Print_Titles_2_9_61" localSheetId="51">'[1]9b.sz.mell.I.fév'!#REF!</definedName>
    <definedName name="Excel_BuiltIn_Print_Titles_2_9_61" localSheetId="52">'[1]9b.sz.mell.I.fév'!#REF!</definedName>
    <definedName name="Excel_BuiltIn_Print_Titles_2_9_61" localSheetId="53">'[1]9b.sz.mell.I.fév'!#REF!</definedName>
    <definedName name="Excel_BuiltIn_Print_Titles_2_9_61" localSheetId="54">'[1]9b.sz.mell.I.fév'!#REF!</definedName>
    <definedName name="Excel_BuiltIn_Print_Titles_2_9_61" localSheetId="55">'[1]9b.sz.mell.I.fév'!#REF!</definedName>
    <definedName name="Excel_BuiltIn_Print_Titles_2_9_61" localSheetId="39">'[1]9b.sz.mell.I.fév'!#REF!</definedName>
    <definedName name="Excel_BuiltIn_Print_Titles_2_9_61">'[1]9b.sz.mell.I.fév'!#REF!</definedName>
    <definedName name="Excel_BuiltIn_Print_Titles_2_9_62" localSheetId="51">'[1]9b.sz.mell.I.fév'!#REF!</definedName>
    <definedName name="Excel_BuiltIn_Print_Titles_2_9_62" localSheetId="52">'[1]9b.sz.mell.I.fév'!#REF!</definedName>
    <definedName name="Excel_BuiltIn_Print_Titles_2_9_62" localSheetId="53">'[1]9b.sz.mell.I.fév'!#REF!</definedName>
    <definedName name="Excel_BuiltIn_Print_Titles_2_9_62" localSheetId="54">'[1]9b.sz.mell.I.fév'!#REF!</definedName>
    <definedName name="Excel_BuiltIn_Print_Titles_2_9_62" localSheetId="55">'[1]9b.sz.mell.I.fév'!#REF!</definedName>
    <definedName name="Excel_BuiltIn_Print_Titles_2_9_62" localSheetId="39">'[1]9b.sz.mell.I.fév'!#REF!</definedName>
    <definedName name="Excel_BuiltIn_Print_Titles_2_9_62">'[1]9b.sz.mell.I.fév'!#REF!</definedName>
    <definedName name="Excel_BuiltIn_Print_Titles_2_9_63" localSheetId="51">'[1]9b.sz.mell.I.fév'!#REF!</definedName>
    <definedName name="Excel_BuiltIn_Print_Titles_2_9_63" localSheetId="52">'[1]9b.sz.mell.I.fév'!#REF!</definedName>
    <definedName name="Excel_BuiltIn_Print_Titles_2_9_63" localSheetId="53">'[1]9b.sz.mell.I.fév'!#REF!</definedName>
    <definedName name="Excel_BuiltIn_Print_Titles_2_9_63" localSheetId="54">'[1]9b.sz.mell.I.fév'!#REF!</definedName>
    <definedName name="Excel_BuiltIn_Print_Titles_2_9_63" localSheetId="55">'[1]9b.sz.mell.I.fév'!#REF!</definedName>
    <definedName name="Excel_BuiltIn_Print_Titles_2_9_63" localSheetId="39">'[1]9b.sz.mell.I.fév'!#REF!</definedName>
    <definedName name="Excel_BuiltIn_Print_Titles_2_9_63">'[1]9b.sz.mell.I.fév'!#REF!</definedName>
    <definedName name="Excel_BuiltIn_Print_Titles_5" localSheetId="48">'[2]9a.sz.mell.III.név '!#REF!</definedName>
    <definedName name="Excel_BuiltIn_Print_Titles_5" localSheetId="49">'[2]9a.sz.mell.III.név '!#REF!</definedName>
    <definedName name="Excel_BuiltIn_Print_Titles_5" localSheetId="50">'[2]9a.sz.mell.III.név '!#REF!</definedName>
    <definedName name="Excel_BuiltIn_Print_Titles_5" localSheetId="51">'[2]9a.sz.mell.III.név '!#REF!</definedName>
    <definedName name="Excel_BuiltIn_Print_Titles_5" localSheetId="52">'[2]9a.sz.mell.III.név '!#REF!</definedName>
    <definedName name="Excel_BuiltIn_Print_Titles_5" localSheetId="53">'[2]9a.sz.mell.III.név '!#REF!</definedName>
    <definedName name="Excel_BuiltIn_Print_Titles_5" localSheetId="54">'[2]9a.sz.mell.III.név '!#REF!</definedName>
    <definedName name="Excel_BuiltIn_Print_Titles_5" localSheetId="55">'[2]9a.sz.mell.III.név '!#REF!</definedName>
    <definedName name="Excel_BuiltIn_Print_Titles_5" localSheetId="39">'[2]9a.sz.mell.III.név '!#REF!</definedName>
    <definedName name="Excel_BuiltIn_Print_Titles_5">#REF!</definedName>
    <definedName name="Excel_BuiltIn_Print_Titles_5_1" localSheetId="51">#REF!</definedName>
    <definedName name="Excel_BuiltIn_Print_Titles_5_1" localSheetId="52">#REF!</definedName>
    <definedName name="Excel_BuiltIn_Print_Titles_5_1" localSheetId="53">#REF!</definedName>
    <definedName name="Excel_BuiltIn_Print_Titles_5_1" localSheetId="54">#REF!</definedName>
    <definedName name="Excel_BuiltIn_Print_Titles_5_1" localSheetId="55">#REF!</definedName>
    <definedName name="Excel_BuiltIn_Print_Titles_5_1" localSheetId="39">#REF!</definedName>
    <definedName name="Excel_BuiltIn_Print_Titles_5_1">#REF!</definedName>
    <definedName name="Excel_BuiltIn_Print_Titles_5_1_60" localSheetId="51">#REF!</definedName>
    <definedName name="Excel_BuiltIn_Print_Titles_5_1_60" localSheetId="52">#REF!</definedName>
    <definedName name="Excel_BuiltIn_Print_Titles_5_1_60" localSheetId="53">#REF!</definedName>
    <definedName name="Excel_BuiltIn_Print_Titles_5_1_60" localSheetId="54">#REF!</definedName>
    <definedName name="Excel_BuiltIn_Print_Titles_5_1_60" localSheetId="55">#REF!</definedName>
    <definedName name="Excel_BuiltIn_Print_Titles_5_1_60" localSheetId="39">#REF!</definedName>
    <definedName name="Excel_BuiltIn_Print_Titles_5_1_60">#REF!</definedName>
    <definedName name="Excel_BuiltIn_Print_Titles_5_1_61" localSheetId="51">#REF!</definedName>
    <definedName name="Excel_BuiltIn_Print_Titles_5_1_61" localSheetId="52">#REF!</definedName>
    <definedName name="Excel_BuiltIn_Print_Titles_5_1_61" localSheetId="53">#REF!</definedName>
    <definedName name="Excel_BuiltIn_Print_Titles_5_1_61" localSheetId="54">#REF!</definedName>
    <definedName name="Excel_BuiltIn_Print_Titles_5_1_61" localSheetId="55">#REF!</definedName>
    <definedName name="Excel_BuiltIn_Print_Titles_5_1_61" localSheetId="39">#REF!</definedName>
    <definedName name="Excel_BuiltIn_Print_Titles_5_1_61">#REF!</definedName>
    <definedName name="Excel_BuiltIn_Print_Titles_5_1_62" localSheetId="51">#REF!</definedName>
    <definedName name="Excel_BuiltIn_Print_Titles_5_1_62" localSheetId="52">#REF!</definedName>
    <definedName name="Excel_BuiltIn_Print_Titles_5_1_62" localSheetId="53">#REF!</definedName>
    <definedName name="Excel_BuiltIn_Print_Titles_5_1_62" localSheetId="54">#REF!</definedName>
    <definedName name="Excel_BuiltIn_Print_Titles_5_1_62" localSheetId="55">#REF!</definedName>
    <definedName name="Excel_BuiltIn_Print_Titles_5_1_62" localSheetId="39">#REF!</definedName>
    <definedName name="Excel_BuiltIn_Print_Titles_5_1_62">#REF!</definedName>
    <definedName name="Excel_BuiltIn_Print_Titles_5_1_63" localSheetId="51">#REF!</definedName>
    <definedName name="Excel_BuiltIn_Print_Titles_5_1_63" localSheetId="52">#REF!</definedName>
    <definedName name="Excel_BuiltIn_Print_Titles_5_1_63" localSheetId="53">#REF!</definedName>
    <definedName name="Excel_BuiltIn_Print_Titles_5_1_63" localSheetId="54">#REF!</definedName>
    <definedName name="Excel_BuiltIn_Print_Titles_5_1_63" localSheetId="55">#REF!</definedName>
    <definedName name="Excel_BuiltIn_Print_Titles_5_1_63" localSheetId="39">#REF!</definedName>
    <definedName name="Excel_BuiltIn_Print_Titles_5_1_63">#REF!</definedName>
    <definedName name="Excel_BuiltIn_Print_Titles_5_60" localSheetId="51">'[2]9a.sz.mell.III.név '!#REF!</definedName>
    <definedName name="Excel_BuiltIn_Print_Titles_5_60" localSheetId="52">'[2]9a.sz.mell.III.név '!#REF!</definedName>
    <definedName name="Excel_BuiltIn_Print_Titles_5_60" localSheetId="53">'[2]9a.sz.mell.III.név '!#REF!</definedName>
    <definedName name="Excel_BuiltIn_Print_Titles_5_60" localSheetId="54">'[2]9a.sz.mell.III.név '!#REF!</definedName>
    <definedName name="Excel_BuiltIn_Print_Titles_5_60" localSheetId="55">'[2]9a.sz.mell.III.név '!#REF!</definedName>
    <definedName name="Excel_BuiltIn_Print_Titles_5_60" localSheetId="39">'[2]9a.sz.mell.III.név '!#REF!</definedName>
    <definedName name="Excel_BuiltIn_Print_Titles_5_60">'[2]9a.sz.mell.III.név '!#REF!</definedName>
    <definedName name="Excel_BuiltIn_Print_Titles_5_61" localSheetId="51">'[2]9a.sz.mell.III.név '!#REF!</definedName>
    <definedName name="Excel_BuiltIn_Print_Titles_5_61" localSheetId="52">'[2]9a.sz.mell.III.név '!#REF!</definedName>
    <definedName name="Excel_BuiltIn_Print_Titles_5_61" localSheetId="53">'[2]9a.sz.mell.III.név '!#REF!</definedName>
    <definedName name="Excel_BuiltIn_Print_Titles_5_61" localSheetId="54">'[2]9a.sz.mell.III.név '!#REF!</definedName>
    <definedName name="Excel_BuiltIn_Print_Titles_5_61" localSheetId="55">'[2]9a.sz.mell.III.név '!#REF!</definedName>
    <definedName name="Excel_BuiltIn_Print_Titles_5_61" localSheetId="39">'[2]9a.sz.mell.III.név '!#REF!</definedName>
    <definedName name="Excel_BuiltIn_Print_Titles_5_61">'[2]9a.sz.mell.III.név '!#REF!</definedName>
    <definedName name="Excel_BuiltIn_Print_Titles_5_62" localSheetId="51">'[2]9a.sz.mell.III.név '!#REF!</definedName>
    <definedName name="Excel_BuiltIn_Print_Titles_5_62" localSheetId="52">'[2]9a.sz.mell.III.név '!#REF!</definedName>
    <definedName name="Excel_BuiltIn_Print_Titles_5_62" localSheetId="53">'[2]9a.sz.mell.III.név '!#REF!</definedName>
    <definedName name="Excel_BuiltIn_Print_Titles_5_62" localSheetId="54">'[2]9a.sz.mell.III.név '!#REF!</definedName>
    <definedName name="Excel_BuiltIn_Print_Titles_5_62" localSheetId="55">'[2]9a.sz.mell.III.név '!#REF!</definedName>
    <definedName name="Excel_BuiltIn_Print_Titles_5_62" localSheetId="39">'[2]9a.sz.mell.III.név '!#REF!</definedName>
    <definedName name="Excel_BuiltIn_Print_Titles_5_62">'[2]9a.sz.mell.III.név '!#REF!</definedName>
    <definedName name="Excel_BuiltIn_Print_Titles_5_63" localSheetId="51">'[2]9a.sz.mell.III.név '!#REF!</definedName>
    <definedName name="Excel_BuiltIn_Print_Titles_5_63" localSheetId="52">'[2]9a.sz.mell.III.név '!#REF!</definedName>
    <definedName name="Excel_BuiltIn_Print_Titles_5_63" localSheetId="53">'[2]9a.sz.mell.III.név '!#REF!</definedName>
    <definedName name="Excel_BuiltIn_Print_Titles_5_63" localSheetId="54">'[2]9a.sz.mell.III.név '!#REF!</definedName>
    <definedName name="Excel_BuiltIn_Print_Titles_5_63" localSheetId="55">'[2]9a.sz.mell.III.név '!#REF!</definedName>
    <definedName name="Excel_BuiltIn_Print_Titles_5_63" localSheetId="39">'[2]9a.sz.mell.III.név '!#REF!</definedName>
    <definedName name="Excel_BuiltIn_Print_Titles_5_63">'[2]9a.sz.mell.III.név '!#REF!</definedName>
    <definedName name="Excel_BuiltIn_Print_Titles_5_7" localSheetId="48">#REF!</definedName>
    <definedName name="Excel_BuiltIn_Print_Titles_5_7" localSheetId="49">#REF!</definedName>
    <definedName name="Excel_BuiltIn_Print_Titles_5_7" localSheetId="50">#REF!</definedName>
    <definedName name="Excel_BuiltIn_Print_Titles_5_7" localSheetId="51">#REF!</definedName>
    <definedName name="Excel_BuiltIn_Print_Titles_5_7" localSheetId="52">#REF!</definedName>
    <definedName name="Excel_BuiltIn_Print_Titles_5_7" localSheetId="53">#REF!</definedName>
    <definedName name="Excel_BuiltIn_Print_Titles_5_7" localSheetId="54">#REF!</definedName>
    <definedName name="Excel_BuiltIn_Print_Titles_5_7" localSheetId="55">#REF!</definedName>
    <definedName name="Excel_BuiltIn_Print_Titles_5_7" localSheetId="39">#REF!</definedName>
    <definedName name="Excel_BuiltIn_Print_Titles_5_7">#REF!</definedName>
    <definedName name="Excel_BuiltIn_Print_Titles_5_7_60" localSheetId="51">#REF!</definedName>
    <definedName name="Excel_BuiltIn_Print_Titles_5_7_60" localSheetId="52">#REF!</definedName>
    <definedName name="Excel_BuiltIn_Print_Titles_5_7_60" localSheetId="53">#REF!</definedName>
    <definedName name="Excel_BuiltIn_Print_Titles_5_7_60" localSheetId="54">#REF!</definedName>
    <definedName name="Excel_BuiltIn_Print_Titles_5_7_60" localSheetId="55">#REF!</definedName>
    <definedName name="Excel_BuiltIn_Print_Titles_5_7_60" localSheetId="39">#REF!</definedName>
    <definedName name="Excel_BuiltIn_Print_Titles_5_7_60">#REF!</definedName>
    <definedName name="Excel_BuiltIn_Print_Titles_5_7_61" localSheetId="51">#REF!</definedName>
    <definedName name="Excel_BuiltIn_Print_Titles_5_7_61" localSheetId="52">#REF!</definedName>
    <definedName name="Excel_BuiltIn_Print_Titles_5_7_61" localSheetId="53">#REF!</definedName>
    <definedName name="Excel_BuiltIn_Print_Titles_5_7_61" localSheetId="54">#REF!</definedName>
    <definedName name="Excel_BuiltIn_Print_Titles_5_7_61" localSheetId="55">#REF!</definedName>
    <definedName name="Excel_BuiltIn_Print_Titles_5_7_61" localSheetId="39">#REF!</definedName>
    <definedName name="Excel_BuiltIn_Print_Titles_5_7_61">#REF!</definedName>
    <definedName name="Excel_BuiltIn_Print_Titles_5_7_62" localSheetId="51">#REF!</definedName>
    <definedName name="Excel_BuiltIn_Print_Titles_5_7_62" localSheetId="52">#REF!</definedName>
    <definedName name="Excel_BuiltIn_Print_Titles_5_7_62" localSheetId="53">#REF!</definedName>
    <definedName name="Excel_BuiltIn_Print_Titles_5_7_62" localSheetId="54">#REF!</definedName>
    <definedName name="Excel_BuiltIn_Print_Titles_5_7_62" localSheetId="55">#REF!</definedName>
    <definedName name="Excel_BuiltIn_Print_Titles_5_7_62" localSheetId="39">#REF!</definedName>
    <definedName name="Excel_BuiltIn_Print_Titles_5_7_62">#REF!</definedName>
    <definedName name="Excel_BuiltIn_Print_Titles_5_7_63" localSheetId="51">#REF!</definedName>
    <definedName name="Excel_BuiltIn_Print_Titles_5_7_63" localSheetId="52">#REF!</definedName>
    <definedName name="Excel_BuiltIn_Print_Titles_5_7_63" localSheetId="53">#REF!</definedName>
    <definedName name="Excel_BuiltIn_Print_Titles_5_7_63" localSheetId="54">#REF!</definedName>
    <definedName name="Excel_BuiltIn_Print_Titles_5_7_63" localSheetId="55">#REF!</definedName>
    <definedName name="Excel_BuiltIn_Print_Titles_5_7_63" localSheetId="39">#REF!</definedName>
    <definedName name="Excel_BuiltIn_Print_Titles_5_7_63">#REF!</definedName>
    <definedName name="Excel_BuiltIn_Print_Titles_5_8" localSheetId="48">'[1]9a.sz.mell.IV.név'!#REF!</definedName>
    <definedName name="Excel_BuiltIn_Print_Titles_5_8" localSheetId="49">'[1]9a.sz.mell.IV.név'!#REF!</definedName>
    <definedName name="Excel_BuiltIn_Print_Titles_5_8" localSheetId="50">'[1]9a.sz.mell.IV.név'!#REF!</definedName>
    <definedName name="Excel_BuiltIn_Print_Titles_5_8" localSheetId="51">'[1]9a.sz.mell.IV.név'!#REF!</definedName>
    <definedName name="Excel_BuiltIn_Print_Titles_5_8" localSheetId="52">'[1]9a.sz.mell.IV.név'!#REF!</definedName>
    <definedName name="Excel_BuiltIn_Print_Titles_5_8" localSheetId="53">'[1]9a.sz.mell.IV.név'!#REF!</definedName>
    <definedName name="Excel_BuiltIn_Print_Titles_5_8" localSheetId="54">'[1]9a.sz.mell.IV.név'!#REF!</definedName>
    <definedName name="Excel_BuiltIn_Print_Titles_5_8" localSheetId="55">'[1]9a.sz.mell.IV.név'!#REF!</definedName>
    <definedName name="Excel_BuiltIn_Print_Titles_5_8" localSheetId="39">'[1]9a.sz.mell.IV.név'!#REF!</definedName>
    <definedName name="Excel_BuiltIn_Print_Titles_5_8">'[3]9a.sz.mell.II.név'!#REF!</definedName>
    <definedName name="Excel_BuiltIn_Print_Titles_5_8_60" localSheetId="51">'[1]9a.sz.mell.IV.név'!#REF!</definedName>
    <definedName name="Excel_BuiltIn_Print_Titles_5_8_60" localSheetId="52">'[1]9a.sz.mell.IV.név'!#REF!</definedName>
    <definedName name="Excel_BuiltIn_Print_Titles_5_8_60" localSheetId="53">'[1]9a.sz.mell.IV.név'!#REF!</definedName>
    <definedName name="Excel_BuiltIn_Print_Titles_5_8_60" localSheetId="54">'[1]9a.sz.mell.IV.név'!#REF!</definedName>
    <definedName name="Excel_BuiltIn_Print_Titles_5_8_60" localSheetId="55">'[1]9a.sz.mell.IV.név'!#REF!</definedName>
    <definedName name="Excel_BuiltIn_Print_Titles_5_8_60" localSheetId="39">'[1]9a.sz.mell.IV.név'!#REF!</definedName>
    <definedName name="Excel_BuiltIn_Print_Titles_5_8_60">'[1]9a.sz.mell.IV.név'!#REF!</definedName>
    <definedName name="Excel_BuiltIn_Print_Titles_5_8_61" localSheetId="51">'[1]9a.sz.mell.IV.név'!#REF!</definedName>
    <definedName name="Excel_BuiltIn_Print_Titles_5_8_61" localSheetId="52">'[1]9a.sz.mell.IV.név'!#REF!</definedName>
    <definedName name="Excel_BuiltIn_Print_Titles_5_8_61" localSheetId="53">'[1]9a.sz.mell.IV.név'!#REF!</definedName>
    <definedName name="Excel_BuiltIn_Print_Titles_5_8_61" localSheetId="54">'[1]9a.sz.mell.IV.név'!#REF!</definedName>
    <definedName name="Excel_BuiltIn_Print_Titles_5_8_61" localSheetId="55">'[1]9a.sz.mell.IV.név'!#REF!</definedName>
    <definedName name="Excel_BuiltIn_Print_Titles_5_8_61" localSheetId="39">'[1]9a.sz.mell.IV.név'!#REF!</definedName>
    <definedName name="Excel_BuiltIn_Print_Titles_5_8_61">'[1]9a.sz.mell.IV.név'!#REF!</definedName>
    <definedName name="Excel_BuiltIn_Print_Titles_5_8_62" localSheetId="51">'[1]9a.sz.mell.IV.név'!#REF!</definedName>
    <definedName name="Excel_BuiltIn_Print_Titles_5_8_62" localSheetId="52">'[1]9a.sz.mell.IV.név'!#REF!</definedName>
    <definedName name="Excel_BuiltIn_Print_Titles_5_8_62" localSheetId="53">'[1]9a.sz.mell.IV.név'!#REF!</definedName>
    <definedName name="Excel_BuiltIn_Print_Titles_5_8_62" localSheetId="54">'[1]9a.sz.mell.IV.név'!#REF!</definedName>
    <definedName name="Excel_BuiltIn_Print_Titles_5_8_62" localSheetId="55">'[1]9a.sz.mell.IV.név'!#REF!</definedName>
    <definedName name="Excel_BuiltIn_Print_Titles_5_8_62" localSheetId="39">'[1]9a.sz.mell.IV.név'!#REF!</definedName>
    <definedName name="Excel_BuiltIn_Print_Titles_5_8_62">'[1]9a.sz.mell.IV.név'!#REF!</definedName>
    <definedName name="Excel_BuiltIn_Print_Titles_5_8_63" localSheetId="51">'[1]9a.sz.mell.IV.név'!#REF!</definedName>
    <definedName name="Excel_BuiltIn_Print_Titles_5_8_63" localSheetId="52">'[1]9a.sz.mell.IV.név'!#REF!</definedName>
    <definedName name="Excel_BuiltIn_Print_Titles_5_8_63" localSheetId="53">'[1]9a.sz.mell.IV.név'!#REF!</definedName>
    <definedName name="Excel_BuiltIn_Print_Titles_5_8_63" localSheetId="54">'[1]9a.sz.mell.IV.név'!#REF!</definedName>
    <definedName name="Excel_BuiltIn_Print_Titles_5_8_63" localSheetId="55">'[1]9a.sz.mell.IV.név'!#REF!</definedName>
    <definedName name="Excel_BuiltIn_Print_Titles_5_8_63" localSheetId="39">'[1]9a.sz.mell.IV.név'!#REF!</definedName>
    <definedName name="Excel_BuiltIn_Print_Titles_5_8_63">'[1]9a.sz.mell.IV.név'!#REF!</definedName>
    <definedName name="Excel_BuiltIn_Print_Titles_5_9" localSheetId="48">#REF!</definedName>
    <definedName name="Excel_BuiltIn_Print_Titles_5_9" localSheetId="49">#REF!</definedName>
    <definedName name="Excel_BuiltIn_Print_Titles_5_9" localSheetId="50">#REF!</definedName>
    <definedName name="Excel_BuiltIn_Print_Titles_5_9" localSheetId="51">#REF!</definedName>
    <definedName name="Excel_BuiltIn_Print_Titles_5_9" localSheetId="52">#REF!</definedName>
    <definedName name="Excel_BuiltIn_Print_Titles_5_9" localSheetId="53">#REF!</definedName>
    <definedName name="Excel_BuiltIn_Print_Titles_5_9" localSheetId="54">#REF!</definedName>
    <definedName name="Excel_BuiltIn_Print_Titles_5_9" localSheetId="55">#REF!</definedName>
    <definedName name="Excel_BuiltIn_Print_Titles_5_9" localSheetId="39">#REF!</definedName>
    <definedName name="Excel_BuiltIn_Print_Titles_5_9">#REF!</definedName>
    <definedName name="Excel_BuiltIn_Print_Titles_5_9_60" localSheetId="51">#REF!</definedName>
    <definedName name="Excel_BuiltIn_Print_Titles_5_9_60" localSheetId="52">#REF!</definedName>
    <definedName name="Excel_BuiltIn_Print_Titles_5_9_60" localSheetId="53">#REF!</definedName>
    <definedName name="Excel_BuiltIn_Print_Titles_5_9_60" localSheetId="54">#REF!</definedName>
    <definedName name="Excel_BuiltIn_Print_Titles_5_9_60" localSheetId="55">#REF!</definedName>
    <definedName name="Excel_BuiltIn_Print_Titles_5_9_60" localSheetId="39">#REF!</definedName>
    <definedName name="Excel_BuiltIn_Print_Titles_5_9_60">#REF!</definedName>
    <definedName name="Excel_BuiltIn_Print_Titles_5_9_61" localSheetId="51">#REF!</definedName>
    <definedName name="Excel_BuiltIn_Print_Titles_5_9_61" localSheetId="52">#REF!</definedName>
    <definedName name="Excel_BuiltIn_Print_Titles_5_9_61" localSheetId="53">#REF!</definedName>
    <definedName name="Excel_BuiltIn_Print_Titles_5_9_61" localSheetId="54">#REF!</definedName>
    <definedName name="Excel_BuiltIn_Print_Titles_5_9_61" localSheetId="55">#REF!</definedName>
    <definedName name="Excel_BuiltIn_Print_Titles_5_9_61" localSheetId="39">#REF!</definedName>
    <definedName name="Excel_BuiltIn_Print_Titles_5_9_61">#REF!</definedName>
    <definedName name="Excel_BuiltIn_Print_Titles_5_9_62" localSheetId="51">#REF!</definedName>
    <definedName name="Excel_BuiltIn_Print_Titles_5_9_62" localSheetId="52">#REF!</definedName>
    <definedName name="Excel_BuiltIn_Print_Titles_5_9_62" localSheetId="53">#REF!</definedName>
    <definedName name="Excel_BuiltIn_Print_Titles_5_9_62" localSheetId="54">#REF!</definedName>
    <definedName name="Excel_BuiltIn_Print_Titles_5_9_62" localSheetId="55">#REF!</definedName>
    <definedName name="Excel_BuiltIn_Print_Titles_5_9_62" localSheetId="39">#REF!</definedName>
    <definedName name="Excel_BuiltIn_Print_Titles_5_9_62">#REF!</definedName>
    <definedName name="Excel_BuiltIn_Print_Titles_5_9_63" localSheetId="51">#REF!</definedName>
    <definedName name="Excel_BuiltIn_Print_Titles_5_9_63" localSheetId="52">#REF!</definedName>
    <definedName name="Excel_BuiltIn_Print_Titles_5_9_63" localSheetId="53">#REF!</definedName>
    <definedName name="Excel_BuiltIn_Print_Titles_5_9_63" localSheetId="54">#REF!</definedName>
    <definedName name="Excel_BuiltIn_Print_Titles_5_9_63" localSheetId="55">#REF!</definedName>
    <definedName name="Excel_BuiltIn_Print_Titles_5_9_63" localSheetId="39">#REF!</definedName>
    <definedName name="Excel_BuiltIn_Print_Titles_5_9_63">#REF!</definedName>
    <definedName name="Excel_BuiltIn_Print_Titles_6" localSheetId="48">'[1]9b.sz.mell.III.fév'!#REF!</definedName>
    <definedName name="Excel_BuiltIn_Print_Titles_6" localSheetId="49">'[1]9b.sz.mell.III.fév'!#REF!</definedName>
    <definedName name="Excel_BuiltIn_Print_Titles_6" localSheetId="50">'[1]9b.sz.mell.III.fév'!#REF!</definedName>
    <definedName name="Excel_BuiltIn_Print_Titles_6" localSheetId="51">'[1]9b.sz.mell.III.fév'!#REF!</definedName>
    <definedName name="Excel_BuiltIn_Print_Titles_6" localSheetId="52">'[1]9b.sz.mell.III.fév'!#REF!</definedName>
    <definedName name="Excel_BuiltIn_Print_Titles_6" localSheetId="53">'[1]9b.sz.mell.III.fév'!#REF!</definedName>
    <definedName name="Excel_BuiltIn_Print_Titles_6" localSheetId="54">'[1]9b.sz.mell.III.fév'!#REF!</definedName>
    <definedName name="Excel_BuiltIn_Print_Titles_6" localSheetId="55">'[1]9b.sz.mell.III.fév'!#REF!</definedName>
    <definedName name="Excel_BuiltIn_Print_Titles_6" localSheetId="39">'[1]9b.sz.mell.III.fév'!#REF!</definedName>
    <definedName name="Excel_BuiltIn_Print_Titles_6">#REF!</definedName>
    <definedName name="Excel_BuiltIn_Print_Titles_6_60" localSheetId="51">'[1]9b.sz.mell.III.fév'!#REF!</definedName>
    <definedName name="Excel_BuiltIn_Print_Titles_6_60" localSheetId="52">'[1]9b.sz.mell.III.fév'!#REF!</definedName>
    <definedName name="Excel_BuiltIn_Print_Titles_6_60" localSheetId="53">'[1]9b.sz.mell.III.fév'!#REF!</definedName>
    <definedName name="Excel_BuiltIn_Print_Titles_6_60" localSheetId="54">'[1]9b.sz.mell.III.fév'!#REF!</definedName>
    <definedName name="Excel_BuiltIn_Print_Titles_6_60" localSheetId="55">'[1]9b.sz.mell.III.fév'!#REF!</definedName>
    <definedName name="Excel_BuiltIn_Print_Titles_6_60" localSheetId="39">'[1]9b.sz.mell.III.fév'!#REF!</definedName>
    <definedName name="Excel_BuiltIn_Print_Titles_6_60">'[1]9b.sz.mell.III.fév'!#REF!</definedName>
    <definedName name="Excel_BuiltIn_Print_Titles_6_61" localSheetId="51">'[1]9b.sz.mell.III.fév'!#REF!</definedName>
    <definedName name="Excel_BuiltIn_Print_Titles_6_61" localSheetId="52">'[1]9b.sz.mell.III.fév'!#REF!</definedName>
    <definedName name="Excel_BuiltIn_Print_Titles_6_61" localSheetId="53">'[1]9b.sz.mell.III.fév'!#REF!</definedName>
    <definedName name="Excel_BuiltIn_Print_Titles_6_61" localSheetId="54">'[1]9b.sz.mell.III.fév'!#REF!</definedName>
    <definedName name="Excel_BuiltIn_Print_Titles_6_61" localSheetId="55">'[1]9b.sz.mell.III.fév'!#REF!</definedName>
    <definedName name="Excel_BuiltIn_Print_Titles_6_61" localSheetId="39">'[1]9b.sz.mell.III.fév'!#REF!</definedName>
    <definedName name="Excel_BuiltIn_Print_Titles_6_61">'[1]9b.sz.mell.III.fév'!#REF!</definedName>
    <definedName name="Excel_BuiltIn_Print_Titles_6_62" localSheetId="51">'[1]9b.sz.mell.III.fév'!#REF!</definedName>
    <definedName name="Excel_BuiltIn_Print_Titles_6_62" localSheetId="52">'[1]9b.sz.mell.III.fév'!#REF!</definedName>
    <definedName name="Excel_BuiltIn_Print_Titles_6_62" localSheetId="53">'[1]9b.sz.mell.III.fév'!#REF!</definedName>
    <definedName name="Excel_BuiltIn_Print_Titles_6_62" localSheetId="54">'[1]9b.sz.mell.III.fév'!#REF!</definedName>
    <definedName name="Excel_BuiltIn_Print_Titles_6_62" localSheetId="55">'[1]9b.sz.mell.III.fév'!#REF!</definedName>
    <definedName name="Excel_BuiltIn_Print_Titles_6_62" localSheetId="39">'[1]9b.sz.mell.III.fév'!#REF!</definedName>
    <definedName name="Excel_BuiltIn_Print_Titles_6_62">'[1]9b.sz.mell.III.fév'!#REF!</definedName>
    <definedName name="Excel_BuiltIn_Print_Titles_6_63" localSheetId="51">'[1]9b.sz.mell.III.fév'!#REF!</definedName>
    <definedName name="Excel_BuiltIn_Print_Titles_6_63" localSheetId="52">'[1]9b.sz.mell.III.fév'!#REF!</definedName>
    <definedName name="Excel_BuiltIn_Print_Titles_6_63" localSheetId="53">'[1]9b.sz.mell.III.fév'!#REF!</definedName>
    <definedName name="Excel_BuiltIn_Print_Titles_6_63" localSheetId="54">'[1]9b.sz.mell.III.fév'!#REF!</definedName>
    <definedName name="Excel_BuiltIn_Print_Titles_6_63" localSheetId="55">'[1]9b.sz.mell.III.fév'!#REF!</definedName>
    <definedName name="Excel_BuiltIn_Print_Titles_6_63" localSheetId="39">'[1]9b.sz.mell.III.fév'!#REF!</definedName>
    <definedName name="Excel_BuiltIn_Print_Titles_6_63">'[1]9b.sz.mell.III.fév'!#REF!</definedName>
    <definedName name="Excel_BuiltIn_Print_Titles_6_7" localSheetId="48">'[1]9b.sz.mell.III.fév'!#REF!</definedName>
    <definedName name="Excel_BuiltIn_Print_Titles_6_7" localSheetId="49">'[1]9b.sz.mell.III.fév'!#REF!</definedName>
    <definedName name="Excel_BuiltIn_Print_Titles_6_7" localSheetId="50">'[1]9b.sz.mell.III.fév'!#REF!</definedName>
    <definedName name="Excel_BuiltIn_Print_Titles_6_7" localSheetId="51">'[1]9b.sz.mell.III.fév'!#REF!</definedName>
    <definedName name="Excel_BuiltIn_Print_Titles_6_7" localSheetId="52">'[1]9b.sz.mell.III.fév'!#REF!</definedName>
    <definedName name="Excel_BuiltIn_Print_Titles_6_7" localSheetId="53">'[1]9b.sz.mell.III.fév'!#REF!</definedName>
    <definedName name="Excel_BuiltIn_Print_Titles_6_7" localSheetId="54">'[1]9b.sz.mell.III.fév'!#REF!</definedName>
    <definedName name="Excel_BuiltIn_Print_Titles_6_7" localSheetId="55">'[1]9b.sz.mell.III.fév'!#REF!</definedName>
    <definedName name="Excel_BuiltIn_Print_Titles_6_7" localSheetId="39">'[1]9b.sz.mell.III.fév'!#REF!</definedName>
    <definedName name="Excel_BuiltIn_Print_Titles_6_7">#REF!</definedName>
    <definedName name="Excel_BuiltIn_Print_Titles_6_7_60" localSheetId="51">'[1]9b.sz.mell.III.fév'!#REF!</definedName>
    <definedName name="Excel_BuiltIn_Print_Titles_6_7_60" localSheetId="52">'[1]9b.sz.mell.III.fév'!#REF!</definedName>
    <definedName name="Excel_BuiltIn_Print_Titles_6_7_60" localSheetId="53">'[1]9b.sz.mell.III.fév'!#REF!</definedName>
    <definedName name="Excel_BuiltIn_Print_Titles_6_7_60" localSheetId="54">'[1]9b.sz.mell.III.fév'!#REF!</definedName>
    <definedName name="Excel_BuiltIn_Print_Titles_6_7_60" localSheetId="55">'[1]9b.sz.mell.III.fév'!#REF!</definedName>
    <definedName name="Excel_BuiltIn_Print_Titles_6_7_60" localSheetId="39">'[1]9b.sz.mell.III.fév'!#REF!</definedName>
    <definedName name="Excel_BuiltIn_Print_Titles_6_7_60">'[1]9b.sz.mell.III.fév'!#REF!</definedName>
    <definedName name="Excel_BuiltIn_Print_Titles_6_7_61" localSheetId="51">'[1]9b.sz.mell.III.fév'!#REF!</definedName>
    <definedName name="Excel_BuiltIn_Print_Titles_6_7_61" localSheetId="52">'[1]9b.sz.mell.III.fév'!#REF!</definedName>
    <definedName name="Excel_BuiltIn_Print_Titles_6_7_61" localSheetId="53">'[1]9b.sz.mell.III.fév'!#REF!</definedName>
    <definedName name="Excel_BuiltIn_Print_Titles_6_7_61" localSheetId="54">'[1]9b.sz.mell.III.fév'!#REF!</definedName>
    <definedName name="Excel_BuiltIn_Print_Titles_6_7_61" localSheetId="55">'[1]9b.sz.mell.III.fév'!#REF!</definedName>
    <definedName name="Excel_BuiltIn_Print_Titles_6_7_61" localSheetId="39">'[1]9b.sz.mell.III.fév'!#REF!</definedName>
    <definedName name="Excel_BuiltIn_Print_Titles_6_7_61">'[1]9b.sz.mell.III.fév'!#REF!</definedName>
    <definedName name="Excel_BuiltIn_Print_Titles_6_7_62" localSheetId="51">'[1]9b.sz.mell.III.fév'!#REF!</definedName>
    <definedName name="Excel_BuiltIn_Print_Titles_6_7_62" localSheetId="52">'[1]9b.sz.mell.III.fév'!#REF!</definedName>
    <definedName name="Excel_BuiltIn_Print_Titles_6_7_62" localSheetId="53">'[1]9b.sz.mell.III.fév'!#REF!</definedName>
    <definedName name="Excel_BuiltIn_Print_Titles_6_7_62" localSheetId="54">'[1]9b.sz.mell.III.fév'!#REF!</definedName>
    <definedName name="Excel_BuiltIn_Print_Titles_6_7_62" localSheetId="55">'[1]9b.sz.mell.III.fév'!#REF!</definedName>
    <definedName name="Excel_BuiltIn_Print_Titles_6_7_62" localSheetId="39">'[1]9b.sz.mell.III.fév'!#REF!</definedName>
    <definedName name="Excel_BuiltIn_Print_Titles_6_7_62">'[1]9b.sz.mell.III.fév'!#REF!</definedName>
    <definedName name="Excel_BuiltIn_Print_Titles_6_7_63" localSheetId="51">'[1]9b.sz.mell.III.fév'!#REF!</definedName>
    <definedName name="Excel_BuiltIn_Print_Titles_6_7_63" localSheetId="52">'[1]9b.sz.mell.III.fév'!#REF!</definedName>
    <definedName name="Excel_BuiltIn_Print_Titles_6_7_63" localSheetId="53">'[1]9b.sz.mell.III.fév'!#REF!</definedName>
    <definedName name="Excel_BuiltIn_Print_Titles_6_7_63" localSheetId="54">'[1]9b.sz.mell.III.fév'!#REF!</definedName>
    <definedName name="Excel_BuiltIn_Print_Titles_6_7_63" localSheetId="55">'[1]9b.sz.mell.III.fév'!#REF!</definedName>
    <definedName name="Excel_BuiltIn_Print_Titles_6_7_63" localSheetId="39">'[1]9b.sz.mell.III.fév'!#REF!</definedName>
    <definedName name="Excel_BuiltIn_Print_Titles_6_7_63">'[1]9b.sz.mell.III.fév'!#REF!</definedName>
    <definedName name="Excel_BuiltIn_Print_Titles_6_8" localSheetId="48">'[1]9b.sz.mell.III.fév'!#REF!</definedName>
    <definedName name="Excel_BuiltIn_Print_Titles_6_8" localSheetId="49">'[1]9b.sz.mell.III.fév'!#REF!</definedName>
    <definedName name="Excel_BuiltIn_Print_Titles_6_8" localSheetId="50">'[1]9b.sz.mell.III.fév'!#REF!</definedName>
    <definedName name="Excel_BuiltIn_Print_Titles_6_8" localSheetId="51">'[1]9b.sz.mell.III.fév'!#REF!</definedName>
    <definedName name="Excel_BuiltIn_Print_Titles_6_8" localSheetId="52">'[1]9b.sz.mell.III.fév'!#REF!</definedName>
    <definedName name="Excel_BuiltIn_Print_Titles_6_8" localSheetId="53">'[1]9b.sz.mell.III.fév'!#REF!</definedName>
    <definedName name="Excel_BuiltIn_Print_Titles_6_8" localSheetId="54">'[1]9b.sz.mell.III.fév'!#REF!</definedName>
    <definedName name="Excel_BuiltIn_Print_Titles_6_8" localSheetId="55">'[1]9b.sz.mell.III.fév'!#REF!</definedName>
    <definedName name="Excel_BuiltIn_Print_Titles_6_8" localSheetId="39">'[1]9b.sz.mell.III.fév'!#REF!</definedName>
    <definedName name="Excel_BuiltIn_Print_Titles_6_8">#REF!</definedName>
    <definedName name="Excel_BuiltIn_Print_Titles_6_8_60" localSheetId="51">'[1]9b.sz.mell.III.fév'!#REF!</definedName>
    <definedName name="Excel_BuiltIn_Print_Titles_6_8_60" localSheetId="52">'[1]9b.sz.mell.III.fév'!#REF!</definedName>
    <definedName name="Excel_BuiltIn_Print_Titles_6_8_60" localSheetId="53">'[1]9b.sz.mell.III.fév'!#REF!</definedName>
    <definedName name="Excel_BuiltIn_Print_Titles_6_8_60" localSheetId="54">'[1]9b.sz.mell.III.fév'!#REF!</definedName>
    <definedName name="Excel_BuiltIn_Print_Titles_6_8_60" localSheetId="55">'[1]9b.sz.mell.III.fév'!#REF!</definedName>
    <definedName name="Excel_BuiltIn_Print_Titles_6_8_60" localSheetId="39">'[1]9b.sz.mell.III.fév'!#REF!</definedName>
    <definedName name="Excel_BuiltIn_Print_Titles_6_8_60">'[1]9b.sz.mell.III.fév'!#REF!</definedName>
    <definedName name="Excel_BuiltIn_Print_Titles_6_8_61" localSheetId="51">'[1]9b.sz.mell.III.fév'!#REF!</definedName>
    <definedName name="Excel_BuiltIn_Print_Titles_6_8_61" localSheetId="52">'[1]9b.sz.mell.III.fév'!#REF!</definedName>
    <definedName name="Excel_BuiltIn_Print_Titles_6_8_61" localSheetId="53">'[1]9b.sz.mell.III.fév'!#REF!</definedName>
    <definedName name="Excel_BuiltIn_Print_Titles_6_8_61" localSheetId="54">'[1]9b.sz.mell.III.fév'!#REF!</definedName>
    <definedName name="Excel_BuiltIn_Print_Titles_6_8_61" localSheetId="55">'[1]9b.sz.mell.III.fév'!#REF!</definedName>
    <definedName name="Excel_BuiltIn_Print_Titles_6_8_61" localSheetId="39">'[1]9b.sz.mell.III.fév'!#REF!</definedName>
    <definedName name="Excel_BuiltIn_Print_Titles_6_8_61">'[1]9b.sz.mell.III.fév'!#REF!</definedName>
    <definedName name="Excel_BuiltIn_Print_Titles_6_8_62" localSheetId="51">'[1]9b.sz.mell.III.fév'!#REF!</definedName>
    <definedName name="Excel_BuiltIn_Print_Titles_6_8_62" localSheetId="52">'[1]9b.sz.mell.III.fév'!#REF!</definedName>
    <definedName name="Excel_BuiltIn_Print_Titles_6_8_62" localSheetId="53">'[1]9b.sz.mell.III.fév'!#REF!</definedName>
    <definedName name="Excel_BuiltIn_Print_Titles_6_8_62" localSheetId="54">'[1]9b.sz.mell.III.fév'!#REF!</definedName>
    <definedName name="Excel_BuiltIn_Print_Titles_6_8_62" localSheetId="55">'[1]9b.sz.mell.III.fév'!#REF!</definedName>
    <definedName name="Excel_BuiltIn_Print_Titles_6_8_62" localSheetId="39">'[1]9b.sz.mell.III.fév'!#REF!</definedName>
    <definedName name="Excel_BuiltIn_Print_Titles_6_8_62">'[1]9b.sz.mell.III.fév'!#REF!</definedName>
    <definedName name="Excel_BuiltIn_Print_Titles_6_8_63" localSheetId="51">'[1]9b.sz.mell.III.fév'!#REF!</definedName>
    <definedName name="Excel_BuiltIn_Print_Titles_6_8_63" localSheetId="52">'[1]9b.sz.mell.III.fév'!#REF!</definedName>
    <definedName name="Excel_BuiltIn_Print_Titles_6_8_63" localSheetId="53">'[1]9b.sz.mell.III.fév'!#REF!</definedName>
    <definedName name="Excel_BuiltIn_Print_Titles_6_8_63" localSheetId="54">'[1]9b.sz.mell.III.fév'!#REF!</definedName>
    <definedName name="Excel_BuiltIn_Print_Titles_6_8_63" localSheetId="55">'[1]9b.sz.mell.III.fév'!#REF!</definedName>
    <definedName name="Excel_BuiltIn_Print_Titles_6_8_63" localSheetId="39">'[1]9b.sz.mell.III.fév'!#REF!</definedName>
    <definedName name="Excel_BuiltIn_Print_Titles_6_8_63">'[1]9b.sz.mell.III.fév'!#REF!</definedName>
    <definedName name="Excel_BuiltIn_Print_Titles_6_9" localSheetId="48">'[1]9b.sz.mell.IV.név'!#REF!</definedName>
    <definedName name="Excel_BuiltIn_Print_Titles_6_9" localSheetId="49">'[1]9b.sz.mell.IV.név'!#REF!</definedName>
    <definedName name="Excel_BuiltIn_Print_Titles_6_9" localSheetId="50">'[1]9b.sz.mell.IV.név'!#REF!</definedName>
    <definedName name="Excel_BuiltIn_Print_Titles_6_9" localSheetId="51">'[1]9b.sz.mell.IV.név'!#REF!</definedName>
    <definedName name="Excel_BuiltIn_Print_Titles_6_9" localSheetId="52">'[1]9b.sz.mell.IV.név'!#REF!</definedName>
    <definedName name="Excel_BuiltIn_Print_Titles_6_9" localSheetId="53">'[1]9b.sz.mell.IV.név'!#REF!</definedName>
    <definedName name="Excel_BuiltIn_Print_Titles_6_9" localSheetId="54">'[1]9b.sz.mell.IV.név'!#REF!</definedName>
    <definedName name="Excel_BuiltIn_Print_Titles_6_9" localSheetId="55">'[1]9b.sz.mell.IV.név'!#REF!</definedName>
    <definedName name="Excel_BuiltIn_Print_Titles_6_9" localSheetId="39">'[1]9b.sz.mell.IV.név'!#REF!</definedName>
    <definedName name="Excel_BuiltIn_Print_Titles_6_9">'[3]9b.sz.mell.II.név'!#REF!</definedName>
    <definedName name="Excel_BuiltIn_Print_Titles_6_9_60" localSheetId="51">'[1]9b.sz.mell.IV.név'!#REF!</definedName>
    <definedName name="Excel_BuiltIn_Print_Titles_6_9_60" localSheetId="52">'[1]9b.sz.mell.IV.név'!#REF!</definedName>
    <definedName name="Excel_BuiltIn_Print_Titles_6_9_60" localSheetId="53">'[1]9b.sz.mell.IV.név'!#REF!</definedName>
    <definedName name="Excel_BuiltIn_Print_Titles_6_9_60" localSheetId="54">'[1]9b.sz.mell.IV.név'!#REF!</definedName>
    <definedName name="Excel_BuiltIn_Print_Titles_6_9_60" localSheetId="55">'[1]9b.sz.mell.IV.név'!#REF!</definedName>
    <definedName name="Excel_BuiltIn_Print_Titles_6_9_60" localSheetId="39">'[1]9b.sz.mell.IV.név'!#REF!</definedName>
    <definedName name="Excel_BuiltIn_Print_Titles_6_9_60">'[1]9b.sz.mell.IV.név'!#REF!</definedName>
    <definedName name="Excel_BuiltIn_Print_Titles_6_9_61" localSheetId="51">'[1]9b.sz.mell.IV.név'!#REF!</definedName>
    <definedName name="Excel_BuiltIn_Print_Titles_6_9_61" localSheetId="52">'[1]9b.sz.mell.IV.név'!#REF!</definedName>
    <definedName name="Excel_BuiltIn_Print_Titles_6_9_61" localSheetId="53">'[1]9b.sz.mell.IV.név'!#REF!</definedName>
    <definedName name="Excel_BuiltIn_Print_Titles_6_9_61" localSheetId="54">'[1]9b.sz.mell.IV.név'!#REF!</definedName>
    <definedName name="Excel_BuiltIn_Print_Titles_6_9_61" localSheetId="55">'[1]9b.sz.mell.IV.név'!#REF!</definedName>
    <definedName name="Excel_BuiltIn_Print_Titles_6_9_61" localSheetId="39">'[1]9b.sz.mell.IV.név'!#REF!</definedName>
    <definedName name="Excel_BuiltIn_Print_Titles_6_9_61">'[1]9b.sz.mell.IV.név'!#REF!</definedName>
    <definedName name="Excel_BuiltIn_Print_Titles_6_9_62" localSheetId="51">'[1]9b.sz.mell.IV.név'!#REF!</definedName>
    <definedName name="Excel_BuiltIn_Print_Titles_6_9_62" localSheetId="52">'[1]9b.sz.mell.IV.név'!#REF!</definedName>
    <definedName name="Excel_BuiltIn_Print_Titles_6_9_62" localSheetId="53">'[1]9b.sz.mell.IV.név'!#REF!</definedName>
    <definedName name="Excel_BuiltIn_Print_Titles_6_9_62" localSheetId="54">'[1]9b.sz.mell.IV.név'!#REF!</definedName>
    <definedName name="Excel_BuiltIn_Print_Titles_6_9_62" localSheetId="55">'[1]9b.sz.mell.IV.név'!#REF!</definedName>
    <definedName name="Excel_BuiltIn_Print_Titles_6_9_62" localSheetId="39">'[1]9b.sz.mell.IV.név'!#REF!</definedName>
    <definedName name="Excel_BuiltIn_Print_Titles_6_9_62">'[1]9b.sz.mell.IV.név'!#REF!</definedName>
    <definedName name="Excel_BuiltIn_Print_Titles_6_9_63" localSheetId="51">'[1]9b.sz.mell.IV.név'!#REF!</definedName>
    <definedName name="Excel_BuiltIn_Print_Titles_6_9_63" localSheetId="52">'[1]9b.sz.mell.IV.név'!#REF!</definedName>
    <definedName name="Excel_BuiltIn_Print_Titles_6_9_63" localSheetId="53">'[1]9b.sz.mell.IV.név'!#REF!</definedName>
    <definedName name="Excel_BuiltIn_Print_Titles_6_9_63" localSheetId="54">'[1]9b.sz.mell.IV.név'!#REF!</definedName>
    <definedName name="Excel_BuiltIn_Print_Titles_6_9_63" localSheetId="55">'[1]9b.sz.mell.IV.név'!#REF!</definedName>
    <definedName name="Excel_BuiltIn_Print_Titles_6_9_63" localSheetId="39">'[1]9b.sz.mell.IV.név'!#REF!</definedName>
    <definedName name="Excel_BuiltIn_Print_Titles_6_9_63">'[1]9b.sz.mell.IV.név'!#REF!</definedName>
    <definedName name="mell13" localSheetId="44">#REF!</definedName>
    <definedName name="mell13" localSheetId="45">#REF!</definedName>
    <definedName name="mell13" localSheetId="40">#REF!</definedName>
    <definedName name="mell13" localSheetId="41">#REF!</definedName>
    <definedName name="mell13" localSheetId="42">#REF!</definedName>
    <definedName name="mell13">#REF!</definedName>
    <definedName name="melléklet" localSheetId="44">#REF!</definedName>
    <definedName name="melléklet" localSheetId="45">#REF!</definedName>
    <definedName name="melléklet" localSheetId="40">#REF!</definedName>
    <definedName name="melléklet" localSheetId="41">#REF!</definedName>
    <definedName name="melléklet" localSheetId="42">#REF!</definedName>
    <definedName name="melléklet">#REF!</definedName>
    <definedName name="_xlnm.Print_Titles" localSheetId="63">','!$1:$6</definedName>
    <definedName name="_xlnm.Print_Titles" localSheetId="58">'.'!$1:$6</definedName>
    <definedName name="_xlnm.Print_Titles" localSheetId="61">'.-'!$1:$6</definedName>
    <definedName name="_xlnm.Print_Titles" localSheetId="59">'..'!$1:$6</definedName>
    <definedName name="_xlnm.Print_Titles" localSheetId="62">'.-.'!$1:$6</definedName>
    <definedName name="_xlnm.Print_Titles" localSheetId="60">'...'!$1:$6</definedName>
    <definedName name="_xlnm.Print_Titles" localSheetId="1">'1.sz.mell.'!$2:$2</definedName>
    <definedName name="_xlnm.Print_Titles" localSheetId="48">'15.1. sz. mell.'!$3:$4</definedName>
    <definedName name="_xlnm.Print_Titles" localSheetId="7">'2. sz. mell '!$1:$5</definedName>
    <definedName name="_xlnm.Print_Titles" localSheetId="8">'3. sz. mell'!$1:$5</definedName>
    <definedName name="_xlnm.Print_Titles" localSheetId="9">'3.1.asz.melléklet'!$1:$1</definedName>
    <definedName name="_xlnm.Print_Titles" localSheetId="10">'3.2.sz.melléklet'!$1:$1</definedName>
    <definedName name="_xlnm.Print_Titles" localSheetId="11">'4. sz. mell.'!$1:$6</definedName>
    <definedName name="_xlnm.Print_Titles" localSheetId="12">'4.1 sz. mell'!$1:$6</definedName>
    <definedName name="_xlnm.Print_Titles" localSheetId="13">'4.2. sz. mell'!$1:$6</definedName>
    <definedName name="_xlnm.Print_Titles" localSheetId="14">'4.3 sz. mell'!$1:$6</definedName>
    <definedName name="_xlnm.Print_Titles" localSheetId="15">'4.4.sz. mell.'!$1:$6</definedName>
    <definedName name="_xlnm.Print_Titles" localSheetId="16">'4.5.sz. mell. '!$1:$6</definedName>
    <definedName name="_xlnm.Print_Titles" localSheetId="17">'4.6 sz. mell.'!$1:$6</definedName>
    <definedName name="_xlnm.Print_Titles" localSheetId="18">'4.7.sz. mell.'!$1:$6</definedName>
    <definedName name="_xlnm.Print_Titles" localSheetId="19">'4.8.sz. mell.'!$1:$6</definedName>
    <definedName name="_xlnm.Print_Titles" localSheetId="20">'5. sz. mell. '!$1:$6</definedName>
    <definedName name="_xlnm.Print_Titles" localSheetId="21">'5.1. sz. mell. '!$1:$6</definedName>
    <definedName name="_xlnm.Print_Titles" localSheetId="31">'5.10. sz. mell.'!$1:$6</definedName>
    <definedName name="_xlnm.Print_Titles" localSheetId="32">'5.10.1..sz mell.'!$1:$1</definedName>
    <definedName name="_xlnm.Print_Titles" localSheetId="33">'5.11 sz. mell '!$1:$6</definedName>
    <definedName name="_xlnm.Print_Titles" localSheetId="34">'5.11.1. sz. mell.'!$1:$1</definedName>
    <definedName name="_xlnm.Print_Titles" localSheetId="22">'5.2. sz. mell.  '!$1:$6</definedName>
    <definedName name="_xlnm.Print_Titles" localSheetId="23">'5.3 sz. mell'!$1:$6</definedName>
    <definedName name="_xlnm.Print_Titles" localSheetId="24">'5.4. sz mell'!$1:$6</definedName>
    <definedName name="_xlnm.Print_Titles" localSheetId="25">'5.5. sz. mell.  '!$1:$6</definedName>
    <definedName name="_xlnm.Print_Titles" localSheetId="26">'5.6. sz. mell'!$1:$6</definedName>
    <definedName name="_xlnm.Print_Titles" localSheetId="27">'5.7. sz. mell.'!$1:$6</definedName>
    <definedName name="_xlnm.Print_Titles" localSheetId="28">'5.8. sz. mell.'!$1:$6</definedName>
    <definedName name="_xlnm.Print_Titles" localSheetId="29">'5.9. sz. mell. '!$1:$6</definedName>
    <definedName name="_xlnm.Print_Titles" localSheetId="30">'5.9.1..sz mell.'!$1:$1</definedName>
    <definedName name="_xlnm.Print_Titles" localSheetId="36">'6.2.sz.mell.'!$1:$2</definedName>
    <definedName name="_xlnm.Print_Titles" localSheetId="37">'7.1. sz mell.'!$1:$1</definedName>
    <definedName name="_xlnm.Print_Titles" localSheetId="38">'7.2 sz mell.'!$1:$1</definedName>
    <definedName name="_xlnm.Print_Titles" localSheetId="0">'I. sz. mell.'!$1:$1</definedName>
    <definedName name="_xlnm.Print_Area" localSheetId="63">','!$A$1:$G$48</definedName>
    <definedName name="_xlnm.Print_Area" localSheetId="58">'.'!$A$1:$G$53</definedName>
    <definedName name="_xlnm.Print_Area" localSheetId="61">'.-'!$A$1:$G$48</definedName>
    <definedName name="_xlnm.Print_Area" localSheetId="59">'..'!$A$1:$G$48</definedName>
    <definedName name="_xlnm.Print_Area" localSheetId="62">'.-.'!$A$1:$G$48</definedName>
    <definedName name="_xlnm.Print_Area" localSheetId="60">'...'!$A$1:$G$53</definedName>
    <definedName name="_xlnm.Print_Area" localSheetId="2">'1.1.sz.mell  '!$A$1:$I$28</definedName>
    <definedName name="_xlnm.Print_Area" localSheetId="3">'1.2.sz.mell  '!$A$1:$I$29</definedName>
    <definedName name="_xlnm.Print_Area" localSheetId="4">'1.3. sz. mell'!$A$1:$AG$55</definedName>
    <definedName name="_xlnm.Print_Area" localSheetId="5">'1.4. sz. mell'!$A$1:$AA$25</definedName>
    <definedName name="_xlnm.Print_Area" localSheetId="6">'1.5. sz. mell'!$A$1:$O$16</definedName>
    <definedName name="_xlnm.Print_Area" localSheetId="1">'1.sz.mell.'!$A$1:$F$152</definedName>
    <definedName name="_xlnm.Print_Area" localSheetId="43">'10.sz. mell.'!$A$1:$I$28</definedName>
    <definedName name="_xlnm.Print_Area" localSheetId="44">'11.sz.mell.'!$A$1:$E$64</definedName>
    <definedName name="_xlnm.Print_Area" localSheetId="49">'15.2. sz. mell'!$A$1:$E$43</definedName>
    <definedName name="_xlnm.Print_Area" localSheetId="50">'16sz. mell'!$A$1:$E$87</definedName>
    <definedName name="_xlnm.Print_Area" localSheetId="51">'17.1.sz.mell.'!$A$1:$D$81</definedName>
    <definedName name="_xlnm.Print_Area" localSheetId="52">'17.2.sz.mell.'!$A$1:$D$17</definedName>
    <definedName name="_xlnm.Print_Area" localSheetId="53">'17.3.sz.mell.'!$A$1:$D$24</definedName>
    <definedName name="_xlnm.Print_Area" localSheetId="54">'17.4.sz.mell.'!$A$1:$D$13</definedName>
    <definedName name="_xlnm.Print_Area" localSheetId="55">'17.5.sz.mell.'!$A$1:$D$11</definedName>
    <definedName name="_xlnm.Print_Area" localSheetId="7">'2. sz. mell '!$A$1:$G$128</definedName>
    <definedName name="_xlnm.Print_Area" localSheetId="8">'3. sz. mell'!$A$1:$G$114</definedName>
    <definedName name="_xlnm.Print_Area" localSheetId="9">'3.1.asz.melléklet'!$A$1:$H$148</definedName>
    <definedName name="_xlnm.Print_Area" localSheetId="10">'3.2.sz.melléklet'!$A$1:$H$240</definedName>
    <definedName name="_xlnm.Print_Area" localSheetId="11">'4. sz. mell.'!$A$1:$G$51</definedName>
    <definedName name="_xlnm.Print_Area" localSheetId="12">'4.1 sz. mell'!$A$1:$G$49</definedName>
    <definedName name="_xlnm.Print_Area" localSheetId="13">'4.2. sz. mell'!$A$1:$G$49</definedName>
    <definedName name="_xlnm.Print_Area" localSheetId="14">'4.3 sz. mell'!$A$1:$G$49</definedName>
    <definedName name="_xlnm.Print_Area" localSheetId="15">'4.4.sz. mell.'!$A$1:$G$49</definedName>
    <definedName name="_xlnm.Print_Area" localSheetId="16">'4.5.sz. mell. '!$A$1:$G$49</definedName>
    <definedName name="_xlnm.Print_Area" localSheetId="17">'4.6 sz. mell.'!$A$1:$G$50</definedName>
    <definedName name="_xlnm.Print_Area" localSheetId="18">'4.7.sz. mell.'!$A$1:$G$49</definedName>
    <definedName name="_xlnm.Print_Area" localSheetId="19">'4.8.sz. mell.'!$A$1:$G$50</definedName>
    <definedName name="_xlnm.Print_Area" localSheetId="20">'5. sz. mell. '!$A$1:$G$65</definedName>
    <definedName name="_xlnm.Print_Area" localSheetId="21">'5.1. sz. mell. '!$A$1:$G$52</definedName>
    <definedName name="_xlnm.Print_Area" localSheetId="31">'5.10. sz. mell.'!$A$1:$G$49</definedName>
    <definedName name="_xlnm.Print_Area" localSheetId="32">'5.10.1..sz mell.'!$A$1:$H$182</definedName>
    <definedName name="_xlnm.Print_Area" localSheetId="33">'5.11 sz. mell '!$A$1:$G$50</definedName>
    <definedName name="_xlnm.Print_Area" localSheetId="34">'5.11.1. sz. mell.'!$A$1:$L$167</definedName>
    <definedName name="_xlnm.Print_Area" localSheetId="22">'5.2. sz. mell.  '!$A$1:$G$52</definedName>
    <definedName name="_xlnm.Print_Area" localSheetId="23">'5.3 sz. mell'!$A$1:$G$48</definedName>
    <definedName name="_xlnm.Print_Area" localSheetId="24">'5.4. sz mell'!$A$1:$G$48</definedName>
    <definedName name="_xlnm.Print_Area" localSheetId="25">'5.5. sz. mell.  '!$A$1:$G$48</definedName>
    <definedName name="_xlnm.Print_Area" localSheetId="26">'5.6. sz. mell'!$A$1:$G$48</definedName>
    <definedName name="_xlnm.Print_Area" localSheetId="27">'5.7. sz. mell.'!$A$1:$G$49</definedName>
    <definedName name="_xlnm.Print_Area" localSheetId="28">'5.8. sz. mell.'!$A$1:$G$48</definedName>
    <definedName name="_xlnm.Print_Area" localSheetId="29">'5.9. sz. mell. '!$A$1:$G$50</definedName>
    <definedName name="_xlnm.Print_Area" localSheetId="30">'5.9.1..sz mell.'!$A$1:$H$101</definedName>
    <definedName name="_xlnm.Print_Area" localSheetId="35">'6.1.sz.mell. '!$A$1:$L$28</definedName>
    <definedName name="_xlnm.Print_Area" localSheetId="36">'6.2.sz.mell.'!$A$1:$L$201</definedName>
    <definedName name="_xlnm.Print_Area" localSheetId="37">'7.1. sz mell.'!$A$1:$J$112</definedName>
    <definedName name="_xlnm.Print_Area" localSheetId="38">'7.2 sz mell.'!$A$1:$G$37</definedName>
    <definedName name="_xlnm.Print_Area" localSheetId="42">'9. sz. mell.'!$A$1:$D$78</definedName>
    <definedName name="_xlnm.Print_Area" localSheetId="0">'I. sz. mell.'!$A$1:$G$141</definedName>
  </definedNames>
  <calcPr calcId="145621"/>
</workbook>
</file>

<file path=xl/calcChain.xml><?xml version="1.0" encoding="utf-8"?>
<calcChain xmlns="http://schemas.openxmlformats.org/spreadsheetml/2006/main">
  <c r="E39" i="78" l="1"/>
  <c r="E40" i="78"/>
  <c r="E41" i="78"/>
  <c r="E42" i="78"/>
  <c r="E43" i="78"/>
  <c r="E44" i="78"/>
  <c r="E38" i="78"/>
  <c r="E29" i="78"/>
  <c r="E30" i="78"/>
  <c r="D45" i="78"/>
  <c r="C45" i="78"/>
  <c r="B45" i="78"/>
  <c r="D35" i="78"/>
  <c r="C35" i="78"/>
  <c r="E34" i="78"/>
  <c r="E33" i="78"/>
  <c r="E32" i="78"/>
  <c r="E31" i="78"/>
  <c r="B35" i="78"/>
  <c r="E28" i="78"/>
  <c r="E35" i="78" l="1"/>
  <c r="E45" i="78"/>
  <c r="H34" i="69"/>
  <c r="H22" i="69"/>
  <c r="D21" i="70"/>
  <c r="C21" i="70"/>
  <c r="B21" i="70"/>
  <c r="G15" i="70"/>
  <c r="C15" i="70"/>
  <c r="D15" i="70"/>
  <c r="B15" i="70"/>
  <c r="C14" i="70"/>
  <c r="D14" i="70"/>
  <c r="B14" i="70"/>
  <c r="J12" i="71"/>
  <c r="I12" i="71"/>
  <c r="E51" i="90" l="1"/>
  <c r="E31" i="90"/>
  <c r="G34" i="90"/>
  <c r="G33" i="90"/>
  <c r="E43" i="1"/>
  <c r="D43" i="1"/>
  <c r="F28" i="4"/>
  <c r="F27" i="4" s="1"/>
  <c r="J7" i="94"/>
  <c r="J8" i="94"/>
  <c r="J9" i="94"/>
  <c r="J10" i="94"/>
  <c r="J11" i="94"/>
  <c r="J14" i="94"/>
  <c r="J15" i="94"/>
  <c r="J17" i="94"/>
  <c r="J18" i="94"/>
  <c r="J19" i="94"/>
  <c r="J20" i="94"/>
  <c r="J21" i="94"/>
  <c r="J22" i="94"/>
  <c r="J23" i="94"/>
  <c r="J24" i="94"/>
  <c r="J5" i="94"/>
  <c r="F23" i="36" l="1"/>
  <c r="U109" i="37" l="1"/>
  <c r="D40" i="92" l="1"/>
  <c r="C40" i="92"/>
  <c r="C39" i="92" s="1"/>
  <c r="C35" i="92"/>
  <c r="I19" i="99" l="1"/>
  <c r="I18" i="99"/>
  <c r="H17" i="99"/>
  <c r="G17" i="99"/>
  <c r="F17" i="99"/>
  <c r="E17" i="99"/>
  <c r="D17" i="99"/>
  <c r="I17" i="99" s="1"/>
  <c r="I16" i="99"/>
  <c r="H15" i="99"/>
  <c r="F15" i="99"/>
  <c r="E15" i="99"/>
  <c r="D15" i="99"/>
  <c r="I15" i="99" s="1"/>
  <c r="I14" i="99"/>
  <c r="H13" i="99"/>
  <c r="F13" i="99"/>
  <c r="E13" i="99"/>
  <c r="D13" i="99"/>
  <c r="I13" i="99" s="1"/>
  <c r="I12" i="99"/>
  <c r="I11" i="99"/>
  <c r="I10" i="99"/>
  <c r="I9" i="99"/>
  <c r="M8" i="99"/>
  <c r="I8" i="99"/>
  <c r="H7" i="99"/>
  <c r="G7" i="99"/>
  <c r="G20" i="99" s="1"/>
  <c r="F7" i="99"/>
  <c r="F20" i="99" s="1"/>
  <c r="E7" i="99"/>
  <c r="D7" i="99"/>
  <c r="I7" i="99" s="1"/>
  <c r="I6" i="99"/>
  <c r="H5" i="99"/>
  <c r="H20" i="99" s="1"/>
  <c r="F5" i="99"/>
  <c r="E5" i="99"/>
  <c r="E20" i="99" s="1"/>
  <c r="D5" i="99"/>
  <c r="D20" i="99" s="1"/>
  <c r="H10" i="98"/>
  <c r="G10" i="98"/>
  <c r="F10" i="98"/>
  <c r="E10" i="98"/>
  <c r="H5" i="98"/>
  <c r="H18" i="98" s="1"/>
  <c r="G5" i="98"/>
  <c r="G18" i="98" s="1"/>
  <c r="F5" i="98"/>
  <c r="F18" i="98" s="1"/>
  <c r="E5" i="98"/>
  <c r="E18" i="98" s="1"/>
  <c r="M31" i="97"/>
  <c r="K31" i="97"/>
  <c r="I31" i="97"/>
  <c r="G31" i="97"/>
  <c r="E31" i="97"/>
  <c r="C31" i="97"/>
  <c r="N30" i="97"/>
  <c r="M30" i="97"/>
  <c r="L30" i="97"/>
  <c r="K30" i="97"/>
  <c r="J30" i="97"/>
  <c r="I30" i="97"/>
  <c r="H30" i="97"/>
  <c r="G30" i="97"/>
  <c r="F30" i="97"/>
  <c r="E30" i="97"/>
  <c r="D30" i="97"/>
  <c r="C30" i="97"/>
  <c r="O30" i="97" s="1"/>
  <c r="O29" i="97"/>
  <c r="O28" i="97"/>
  <c r="O27" i="97"/>
  <c r="O26" i="97"/>
  <c r="O25" i="97"/>
  <c r="O24" i="97"/>
  <c r="O22" i="97"/>
  <c r="O21" i="97"/>
  <c r="O20" i="97"/>
  <c r="O19" i="97"/>
  <c r="O18" i="97"/>
  <c r="O17" i="97"/>
  <c r="O16" i="97"/>
  <c r="N14" i="97"/>
  <c r="N31" i="97" s="1"/>
  <c r="M14" i="97"/>
  <c r="L14" i="97"/>
  <c r="L31" i="97" s="1"/>
  <c r="K14" i="97"/>
  <c r="J14" i="97"/>
  <c r="J31" i="97" s="1"/>
  <c r="I14" i="97"/>
  <c r="H14" i="97"/>
  <c r="H31" i="97" s="1"/>
  <c r="G14" i="97"/>
  <c r="F14" i="97"/>
  <c r="F31" i="97" s="1"/>
  <c r="E14" i="97"/>
  <c r="D14" i="97"/>
  <c r="D31" i="97" s="1"/>
  <c r="C14" i="97"/>
  <c r="O14" i="97" s="1"/>
  <c r="O31" i="97" s="1"/>
  <c r="O13" i="97"/>
  <c r="O12" i="97"/>
  <c r="O11" i="97"/>
  <c r="O10" i="97"/>
  <c r="O9" i="97"/>
  <c r="O8" i="97"/>
  <c r="O7" i="97"/>
  <c r="O6" i="97"/>
  <c r="O5" i="97"/>
  <c r="O4" i="97"/>
  <c r="C55" i="92"/>
  <c r="C6" i="94"/>
  <c r="C5" i="94" s="1"/>
  <c r="D8" i="96"/>
  <c r="D13" i="95"/>
  <c r="C13" i="95"/>
  <c r="C22" i="94"/>
  <c r="G21" i="94"/>
  <c r="F21" i="94"/>
  <c r="D21" i="94"/>
  <c r="C21" i="94"/>
  <c r="G18" i="94"/>
  <c r="F18" i="94"/>
  <c r="D18" i="94"/>
  <c r="C18" i="94"/>
  <c r="C16" i="94"/>
  <c r="G15" i="94"/>
  <c r="F15" i="94"/>
  <c r="D15" i="94"/>
  <c r="D8" i="94" s="1"/>
  <c r="C15" i="94"/>
  <c r="C8" i="94" s="1"/>
  <c r="C13" i="94"/>
  <c r="G12" i="94"/>
  <c r="F12" i="94"/>
  <c r="D12" i="94"/>
  <c r="C12" i="94"/>
  <c r="G9" i="94"/>
  <c r="F9" i="94"/>
  <c r="D9" i="94"/>
  <c r="C9" i="94"/>
  <c r="F8" i="94"/>
  <c r="G5" i="94"/>
  <c r="F5" i="94"/>
  <c r="F24" i="94" s="1"/>
  <c r="D5" i="94"/>
  <c r="D24" i="94" s="1"/>
  <c r="C15" i="93"/>
  <c r="C11" i="93"/>
  <c r="C8" i="93"/>
  <c r="C16" i="93" s="1"/>
  <c r="B7" i="93"/>
  <c r="B8" i="93" s="1"/>
  <c r="B9" i="93" s="1"/>
  <c r="B6" i="93"/>
  <c r="D80" i="92"/>
  <c r="F80" i="92" s="1"/>
  <c r="C80" i="92"/>
  <c r="F75" i="92"/>
  <c r="D69" i="92"/>
  <c r="C69" i="92"/>
  <c r="D68" i="92"/>
  <c r="D67" i="92" s="1"/>
  <c r="F67" i="92" s="1"/>
  <c r="C68" i="92"/>
  <c r="C67" i="92"/>
  <c r="D57" i="92"/>
  <c r="C57" i="92"/>
  <c r="D56" i="92"/>
  <c r="C56" i="92"/>
  <c r="D55" i="92"/>
  <c r="C54" i="92"/>
  <c r="D54" i="92"/>
  <c r="F54" i="92" s="1"/>
  <c r="D48" i="92"/>
  <c r="C48" i="92"/>
  <c r="D47" i="92"/>
  <c r="C47" i="92"/>
  <c r="D46" i="92"/>
  <c r="C46" i="92"/>
  <c r="D41" i="92"/>
  <c r="C41" i="92"/>
  <c r="D39" i="92"/>
  <c r="F39" i="92" s="1"/>
  <c r="D37" i="92"/>
  <c r="C37" i="92"/>
  <c r="D35" i="92"/>
  <c r="F35" i="92" s="1"/>
  <c r="D30" i="92"/>
  <c r="C30" i="92"/>
  <c r="D28" i="92"/>
  <c r="C28" i="92"/>
  <c r="D27" i="92"/>
  <c r="C27" i="92"/>
  <c r="D26" i="92"/>
  <c r="C26" i="92"/>
  <c r="D21" i="92"/>
  <c r="C21" i="92"/>
  <c r="D16" i="92"/>
  <c r="D15" i="92" s="1"/>
  <c r="D14" i="92" s="1"/>
  <c r="D13" i="92" s="1"/>
  <c r="C16" i="92"/>
  <c r="C15" i="92"/>
  <c r="C14" i="92"/>
  <c r="C13" i="92"/>
  <c r="D7" i="92"/>
  <c r="C7" i="92"/>
  <c r="C6" i="92" s="1"/>
  <c r="C5" i="92" s="1"/>
  <c r="D6" i="92"/>
  <c r="D5" i="92" s="1"/>
  <c r="F21" i="91"/>
  <c r="E21" i="91"/>
  <c r="D18" i="91"/>
  <c r="C18" i="91"/>
  <c r="D15" i="91"/>
  <c r="C15" i="91"/>
  <c r="G15" i="91" s="1"/>
  <c r="D12" i="91"/>
  <c r="C12" i="91"/>
  <c r="G12" i="91" s="1"/>
  <c r="D9" i="91"/>
  <c r="C9" i="91"/>
  <c r="G9" i="91" s="1"/>
  <c r="D6" i="91"/>
  <c r="C6" i="91"/>
  <c r="F26" i="92" l="1"/>
  <c r="H26" i="92" s="1"/>
  <c r="G18" i="91"/>
  <c r="G6" i="91"/>
  <c r="C21" i="91"/>
  <c r="D21" i="91"/>
  <c r="I20" i="99"/>
  <c r="I5" i="99"/>
  <c r="C12" i="92"/>
  <c r="G8" i="94"/>
  <c r="G24" i="94" s="1"/>
  <c r="C24" i="94"/>
  <c r="F13" i="92"/>
  <c r="D12" i="92"/>
  <c r="F5" i="92"/>
  <c r="E4" i="58"/>
  <c r="E37" i="58"/>
  <c r="E38" i="58"/>
  <c r="E39" i="58"/>
  <c r="E40" i="58"/>
  <c r="E106" i="58"/>
  <c r="E107" i="58"/>
  <c r="E108" i="58"/>
  <c r="E109" i="58"/>
  <c r="E110" i="58"/>
  <c r="E111" i="58"/>
  <c r="E112" i="58"/>
  <c r="E113" i="58"/>
  <c r="E114" i="58"/>
  <c r="E115" i="58"/>
  <c r="E116" i="58"/>
  <c r="E117" i="58"/>
  <c r="E118" i="58"/>
  <c r="E119" i="58"/>
  <c r="E120" i="58"/>
  <c r="E121" i="58"/>
  <c r="E173" i="58"/>
  <c r="G173" i="58"/>
  <c r="E123" i="58"/>
  <c r="J123" i="58"/>
  <c r="E158" i="58"/>
  <c r="E152" i="58"/>
  <c r="E149" i="58"/>
  <c r="E146" i="58"/>
  <c r="E142" i="58"/>
  <c r="E143" i="58"/>
  <c r="E144" i="58"/>
  <c r="E145" i="58"/>
  <c r="E139" i="58"/>
  <c r="E180" i="58"/>
  <c r="E182" i="58"/>
  <c r="E183" i="58"/>
  <c r="E184" i="58"/>
  <c r="E185" i="58"/>
  <c r="E186" i="58"/>
  <c r="E187" i="58"/>
  <c r="E188" i="58"/>
  <c r="E189" i="58"/>
  <c r="E190" i="58"/>
  <c r="E191" i="58"/>
  <c r="E192" i="58"/>
  <c r="E193" i="58"/>
  <c r="E181" i="58"/>
  <c r="E171" i="58"/>
  <c r="E172" i="58"/>
  <c r="E160" i="58"/>
  <c r="E161" i="58"/>
  <c r="E156" i="58"/>
  <c r="E157" i="58"/>
  <c r="E138" i="58"/>
  <c r="I105" i="4"/>
  <c r="H34" i="57"/>
  <c r="F34" i="57"/>
  <c r="F32" i="57"/>
  <c r="H32" i="57"/>
  <c r="G32" i="57"/>
  <c r="H33" i="57"/>
  <c r="G21" i="91" l="1"/>
  <c r="F12" i="92"/>
  <c r="H12" i="92" s="1"/>
  <c r="D74" i="92"/>
  <c r="C74" i="92"/>
  <c r="C81" i="92" s="1"/>
  <c r="E25" i="90"/>
  <c r="E17" i="90"/>
  <c r="E40" i="88"/>
  <c r="E43" i="89"/>
  <c r="E3" i="90" s="1"/>
  <c r="E1" i="90"/>
  <c r="E1" i="89"/>
  <c r="E43" i="88"/>
  <c r="D81" i="92" l="1"/>
  <c r="F81" i="92" s="1"/>
  <c r="F74" i="92"/>
  <c r="U18" i="57"/>
  <c r="Q16" i="57"/>
  <c r="O201" i="58"/>
  <c r="Q201" i="58"/>
  <c r="N201" i="58"/>
  <c r="O16" i="57"/>
  <c r="P16" i="57"/>
  <c r="N16" i="57"/>
  <c r="O4" i="57"/>
  <c r="P4" i="57"/>
  <c r="Q4" i="57"/>
  <c r="N4" i="57"/>
  <c r="D78" i="83" l="1"/>
  <c r="D2" i="83"/>
  <c r="D62" i="83"/>
  <c r="D60" i="83" s="1"/>
  <c r="G49" i="7"/>
  <c r="D15" i="83"/>
  <c r="D14" i="83" s="1"/>
  <c r="G35" i="7"/>
  <c r="E8" i="73"/>
  <c r="C8" i="73"/>
  <c r="D8" i="73"/>
  <c r="C7" i="73"/>
  <c r="E7" i="73"/>
  <c r="E12" i="73" s="1"/>
  <c r="D7" i="73"/>
  <c r="C5" i="73"/>
  <c r="E5" i="73"/>
  <c r="D5" i="73"/>
  <c r="E84" i="90"/>
  <c r="E46" i="89"/>
  <c r="E48" i="89" s="1"/>
  <c r="E48" i="88"/>
  <c r="E2" i="89"/>
  <c r="E2" i="90" s="1"/>
  <c r="D30" i="79"/>
  <c r="C30" i="79"/>
  <c r="D52" i="78"/>
  <c r="D22" i="78"/>
  <c r="E21" i="78"/>
  <c r="E20" i="78"/>
  <c r="E19" i="78"/>
  <c r="E18" i="78"/>
  <c r="E16" i="78"/>
  <c r="C22" i="78"/>
  <c r="B22" i="78"/>
  <c r="D12" i="78"/>
  <c r="E11" i="78"/>
  <c r="E10" i="78"/>
  <c r="E9" i="78"/>
  <c r="E8" i="78"/>
  <c r="C12" i="78"/>
  <c r="E6" i="78"/>
  <c r="E5" i="78"/>
  <c r="C8" i="74"/>
  <c r="C6" i="73"/>
  <c r="D12" i="73"/>
  <c r="E7" i="78" l="1"/>
  <c r="E12" i="78" s="1"/>
  <c r="B12" i="78"/>
  <c r="E17" i="78"/>
  <c r="E4" i="90"/>
  <c r="E87" i="90" s="1"/>
  <c r="E3" i="89"/>
  <c r="C12" i="73"/>
  <c r="E85" i="90"/>
  <c r="E15" i="78"/>
  <c r="E22" i="78" l="1"/>
  <c r="K16" i="57"/>
  <c r="K17" i="57"/>
  <c r="L189" i="58"/>
  <c r="L190" i="58"/>
  <c r="L191" i="58"/>
  <c r="L192" i="58"/>
  <c r="L193" i="58"/>
  <c r="F36" i="4" l="1"/>
  <c r="E36" i="4"/>
  <c r="F61" i="5"/>
  <c r="E61" i="5"/>
  <c r="E44" i="5"/>
  <c r="F44" i="5"/>
  <c r="G35" i="5"/>
  <c r="G87" i="6"/>
  <c r="F87" i="6"/>
  <c r="F48" i="5"/>
  <c r="E48" i="5"/>
  <c r="F34" i="5"/>
  <c r="E34" i="5"/>
  <c r="E26" i="5" l="1"/>
  <c r="G47" i="6"/>
  <c r="F47" i="6"/>
  <c r="F35" i="5"/>
  <c r="E35" i="5"/>
  <c r="E4" i="6" l="1"/>
  <c r="F31" i="17" l="1"/>
  <c r="F22" i="36"/>
  <c r="K5" i="37"/>
  <c r="K77" i="5" l="1"/>
  <c r="L77" i="5"/>
  <c r="J77" i="5"/>
  <c r="F29" i="17" l="1"/>
  <c r="F28" i="17" l="1"/>
  <c r="J17" i="57" l="1"/>
  <c r="J180" i="58"/>
  <c r="I191" i="58"/>
  <c r="I190" i="58"/>
  <c r="I189" i="58"/>
  <c r="I188" i="58"/>
  <c r="I187" i="58"/>
  <c r="I186" i="58"/>
  <c r="I185" i="58"/>
  <c r="I184" i="58"/>
  <c r="I183" i="58"/>
  <c r="I182" i="58"/>
  <c r="I181" i="58"/>
  <c r="E50" i="8" l="1"/>
  <c r="F181" i="35" l="1"/>
  <c r="F170" i="35"/>
  <c r="F169" i="35" s="1"/>
  <c r="F173" i="35" s="1"/>
  <c r="F157" i="35"/>
  <c r="F154" i="35"/>
  <c r="F151" i="35"/>
  <c r="F148" i="35"/>
  <c r="F143" i="35"/>
  <c r="F141" i="35"/>
  <c r="F139" i="35"/>
  <c r="F137" i="35"/>
  <c r="F136" i="35"/>
  <c r="F135" i="35" s="1"/>
  <c r="F146" i="35" s="1"/>
  <c r="F124" i="35"/>
  <c r="F121" i="35"/>
  <c r="F119" i="35"/>
  <c r="F117" i="35"/>
  <c r="F129" i="35" s="1"/>
  <c r="F111" i="35"/>
  <c r="F108" i="35"/>
  <c r="F102" i="35"/>
  <c r="F44" i="35"/>
  <c r="F41" i="35"/>
  <c r="F38" i="35"/>
  <c r="F50" i="35" s="1"/>
  <c r="F31" i="35"/>
  <c r="F27" i="35"/>
  <c r="F22" i="35"/>
  <c r="F16" i="35"/>
  <c r="F15" i="35" l="1"/>
  <c r="F14" i="35" s="1"/>
  <c r="F36" i="35" s="1"/>
  <c r="F101" i="35"/>
  <c r="F100" i="35" s="1"/>
  <c r="F115" i="35" s="1"/>
  <c r="F162" i="35"/>
  <c r="Y55" i="69"/>
  <c r="C38" i="70" s="1"/>
  <c r="AE54" i="69"/>
  <c r="G102" i="6" l="1"/>
  <c r="F102" i="6"/>
  <c r="F12" i="5"/>
  <c r="F12" i="4" s="1"/>
  <c r="E12" i="5"/>
  <c r="E12" i="4" s="1"/>
  <c r="F15" i="5"/>
  <c r="E15" i="5"/>
  <c r="F9" i="5"/>
  <c r="E9" i="5"/>
  <c r="G104" i="6" l="1"/>
  <c r="F53" i="5" s="1"/>
  <c r="F104" i="6"/>
  <c r="E53" i="5" s="1"/>
  <c r="G92" i="6"/>
  <c r="F92" i="6"/>
  <c r="E31" i="17" l="1"/>
  <c r="E28" i="17" l="1"/>
  <c r="E23" i="17"/>
  <c r="E16" i="17"/>
  <c r="F54" i="17"/>
  <c r="F98" i="5"/>
  <c r="F115" i="4" s="1"/>
  <c r="E98" i="5"/>
  <c r="E115" i="4" s="1"/>
  <c r="F35" i="7"/>
  <c r="E99" i="5" l="1"/>
  <c r="H123" i="7"/>
  <c r="I52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122" i="7"/>
  <c r="H47" i="7"/>
  <c r="H48" i="7"/>
  <c r="T97" i="37" l="1"/>
  <c r="G38" i="24" l="1"/>
  <c r="G36" i="24"/>
  <c r="G34" i="24"/>
  <c r="G19" i="24"/>
  <c r="G26" i="24"/>
  <c r="G28" i="24"/>
  <c r="G18" i="24"/>
  <c r="K83" i="58" l="1"/>
  <c r="J83" i="58"/>
  <c r="K4" i="58"/>
  <c r="K41" i="58"/>
  <c r="J41" i="58"/>
  <c r="J4" i="58"/>
  <c r="L121" i="58"/>
  <c r="L112" i="58"/>
  <c r="L106" i="58"/>
  <c r="L105" i="58"/>
  <c r="E105" i="58"/>
  <c r="L104" i="58"/>
  <c r="E104" i="58"/>
  <c r="L103" i="58"/>
  <c r="E103" i="58"/>
  <c r="L102" i="58"/>
  <c r="E102" i="58"/>
  <c r="L101" i="58"/>
  <c r="E101" i="58"/>
  <c r="L100" i="58"/>
  <c r="E100" i="58"/>
  <c r="L99" i="58"/>
  <c r="E99" i="58"/>
  <c r="L98" i="58"/>
  <c r="E98" i="58"/>
  <c r="L97" i="58"/>
  <c r="E97" i="58"/>
  <c r="E96" i="58"/>
  <c r="L95" i="58"/>
  <c r="E95" i="58"/>
  <c r="L94" i="58"/>
  <c r="E94" i="58"/>
  <c r="L93" i="58"/>
  <c r="E93" i="58"/>
  <c r="L92" i="58"/>
  <c r="E92" i="58"/>
  <c r="L91" i="58"/>
  <c r="E91" i="58"/>
  <c r="L63" i="58"/>
  <c r="L56" i="58"/>
  <c r="L36" i="58"/>
  <c r="E36" i="58"/>
  <c r="L35" i="58"/>
  <c r="E35" i="58"/>
  <c r="L34" i="58"/>
  <c r="E34" i="58"/>
  <c r="L33" i="58"/>
  <c r="E33" i="58"/>
  <c r="L39" i="58"/>
  <c r="L40" i="58"/>
  <c r="L38" i="58"/>
  <c r="L13" i="58"/>
  <c r="L13" i="57" l="1"/>
  <c r="K21" i="57" l="1"/>
  <c r="L21" i="57" s="1"/>
  <c r="J21" i="57"/>
  <c r="J16" i="57" s="1"/>
  <c r="L22" i="57"/>
  <c r="K180" i="58"/>
  <c r="L170" i="58"/>
  <c r="E170" i="58"/>
  <c r="L169" i="58"/>
  <c r="E169" i="58"/>
  <c r="K158" i="58"/>
  <c r="J158" i="58"/>
  <c r="L159" i="58"/>
  <c r="E159" i="58"/>
  <c r="L160" i="58"/>
  <c r="K152" i="58"/>
  <c r="J152" i="58"/>
  <c r="L155" i="58"/>
  <c r="E155" i="58"/>
  <c r="L154" i="58"/>
  <c r="E154" i="58"/>
  <c r="L148" i="58"/>
  <c r="K139" i="58"/>
  <c r="J139" i="58"/>
  <c r="L142" i="58"/>
  <c r="L141" i="58"/>
  <c r="E141" i="58"/>
  <c r="L140" i="58"/>
  <c r="E140" i="58"/>
  <c r="J124" i="58"/>
  <c r="L135" i="58"/>
  <c r="L136" i="58"/>
  <c r="L137" i="58"/>
  <c r="L138" i="58"/>
  <c r="E137" i="58"/>
  <c r="I137" i="58" s="1"/>
  <c r="G3" i="41" l="1"/>
  <c r="F83" i="6" l="1"/>
  <c r="G83" i="6"/>
  <c r="F183" i="7"/>
  <c r="G137" i="35"/>
  <c r="G41" i="35"/>
  <c r="G16" i="35"/>
  <c r="E16" i="35"/>
  <c r="G5" i="35"/>
  <c r="Y18" i="70" l="1"/>
  <c r="Y20" i="70"/>
  <c r="Y21" i="70"/>
  <c r="Y24" i="70"/>
  <c r="P52" i="69" l="1"/>
  <c r="Q52" i="69"/>
  <c r="O52" i="69"/>
  <c r="P51" i="69"/>
  <c r="G51" i="69" s="1"/>
  <c r="Q51" i="69"/>
  <c r="H51" i="69" s="1"/>
  <c r="O51" i="69"/>
  <c r="Q44" i="69"/>
  <c r="N43" i="69"/>
  <c r="P34" i="69"/>
  <c r="Q34" i="69"/>
  <c r="O34" i="69"/>
  <c r="J32" i="69"/>
  <c r="K32" i="69"/>
  <c r="I32" i="69"/>
  <c r="S31" i="69"/>
  <c r="T31" i="69"/>
  <c r="R31" i="69"/>
  <c r="J31" i="69"/>
  <c r="K31" i="69"/>
  <c r="S30" i="69"/>
  <c r="T30" i="69"/>
  <c r="R30" i="69"/>
  <c r="J30" i="69"/>
  <c r="K30" i="69"/>
  <c r="J29" i="69"/>
  <c r="K29" i="69"/>
  <c r="I29" i="69"/>
  <c r="V27" i="69"/>
  <c r="W27" i="69"/>
  <c r="U27" i="69"/>
  <c r="S27" i="69"/>
  <c r="T27" i="69"/>
  <c r="R27" i="69"/>
  <c r="J27" i="69"/>
  <c r="K27" i="69"/>
  <c r="I27" i="69"/>
  <c r="L188" i="58" l="1"/>
  <c r="L187" i="58" l="1"/>
  <c r="J144" i="37" l="1"/>
  <c r="L38" i="37"/>
  <c r="K12" i="37"/>
  <c r="K11" i="37" s="1"/>
  <c r="S13" i="37"/>
  <c r="J12" i="37"/>
  <c r="J11" i="37" s="1"/>
  <c r="L16" i="37"/>
  <c r="W8" i="70"/>
  <c r="W10" i="70"/>
  <c r="W11" i="70"/>
  <c r="W12" i="70"/>
  <c r="W13" i="70"/>
  <c r="W14" i="70"/>
  <c r="W15" i="70"/>
  <c r="X8" i="70"/>
  <c r="X10" i="70"/>
  <c r="AA10" i="70" s="1"/>
  <c r="X11" i="70"/>
  <c r="AA11" i="70" s="1"/>
  <c r="X12" i="70"/>
  <c r="AA12" i="70" s="1"/>
  <c r="X13" i="70"/>
  <c r="AA13" i="70" s="1"/>
  <c r="AA14" i="70"/>
  <c r="X15" i="70"/>
  <c r="AA15" i="70" s="1"/>
  <c r="X7" i="70"/>
  <c r="AA7" i="70" s="1"/>
  <c r="V7" i="70"/>
  <c r="AA8" i="70"/>
  <c r="F7" i="70"/>
  <c r="W7" i="70" s="1"/>
  <c r="G12" i="71"/>
  <c r="F12" i="71"/>
  <c r="G8" i="71"/>
  <c r="G9" i="71"/>
  <c r="G10" i="71"/>
  <c r="G11" i="71"/>
  <c r="G13" i="71"/>
  <c r="G14" i="71"/>
  <c r="G7" i="71"/>
  <c r="H30" i="69"/>
  <c r="G30" i="69"/>
  <c r="G9" i="70"/>
  <c r="X9" i="70" s="1"/>
  <c r="F9" i="70"/>
  <c r="W9" i="70" s="1"/>
  <c r="AA9" i="70" l="1"/>
  <c r="H19" i="69"/>
  <c r="H20" i="69"/>
  <c r="G19" i="69"/>
  <c r="G20" i="69"/>
  <c r="H21" i="69"/>
  <c r="G21" i="69"/>
  <c r="E51" i="69" l="1"/>
  <c r="D48" i="69"/>
  <c r="G48" i="69" s="1"/>
  <c r="H46" i="69"/>
  <c r="H48" i="69"/>
  <c r="H49" i="69"/>
  <c r="H50" i="69"/>
  <c r="G46" i="69"/>
  <c r="G49" i="69"/>
  <c r="G50" i="69"/>
  <c r="G44" i="69"/>
  <c r="H44" i="69"/>
  <c r="H43" i="69"/>
  <c r="G43" i="69"/>
  <c r="H37" i="69"/>
  <c r="H38" i="69"/>
  <c r="H39" i="69"/>
  <c r="H40" i="69"/>
  <c r="H41" i="69"/>
  <c r="G37" i="69"/>
  <c r="G38" i="69"/>
  <c r="G39" i="69"/>
  <c r="G40" i="69"/>
  <c r="G41" i="69"/>
  <c r="H36" i="69"/>
  <c r="G36" i="69"/>
  <c r="H35" i="69"/>
  <c r="G35" i="69"/>
  <c r="G22" i="69"/>
  <c r="H14" i="69"/>
  <c r="G14" i="69"/>
  <c r="H9" i="69"/>
  <c r="G9" i="69"/>
  <c r="H13" i="69"/>
  <c r="G13" i="69"/>
  <c r="H12" i="69"/>
  <c r="G12" i="69"/>
  <c r="H11" i="69"/>
  <c r="G11" i="69"/>
  <c r="H10" i="69"/>
  <c r="G10" i="69"/>
  <c r="G21" i="70" l="1"/>
  <c r="F21" i="70"/>
  <c r="W24" i="70"/>
  <c r="D16" i="70"/>
  <c r="G16" i="70" s="1"/>
  <c r="C16" i="70"/>
  <c r="F16" i="70" s="1"/>
  <c r="W16" i="70" s="1"/>
  <c r="X16" i="70" l="1"/>
  <c r="AA16" i="70" s="1"/>
  <c r="AA21" i="70"/>
  <c r="H130" i="6" l="1"/>
  <c r="F122" i="6"/>
  <c r="C42" i="1" l="1"/>
  <c r="E19" i="60" s="1"/>
  <c r="F21" i="7" l="1"/>
  <c r="G21" i="7"/>
  <c r="F82" i="5" s="1"/>
  <c r="F92" i="4" s="1"/>
  <c r="E158" i="7"/>
  <c r="L54" i="7" l="1"/>
  <c r="K54" i="7"/>
  <c r="G122" i="6"/>
  <c r="I206" i="58" l="1"/>
  <c r="I207" i="58"/>
  <c r="I208" i="58"/>
  <c r="H209" i="58"/>
  <c r="F209" i="58"/>
  <c r="H75" i="6"/>
  <c r="H76" i="6"/>
  <c r="I209" i="58" l="1"/>
  <c r="F29" i="36"/>
  <c r="E29" i="36"/>
  <c r="F23" i="17"/>
  <c r="F49" i="4" l="1"/>
  <c r="E49" i="4"/>
  <c r="H108" i="6"/>
  <c r="G107" i="6"/>
  <c r="F54" i="5" s="1"/>
  <c r="F50" i="4" s="1"/>
  <c r="F107" i="6"/>
  <c r="E54" i="5" s="1"/>
  <c r="E50" i="4" s="1"/>
  <c r="E107" i="6"/>
  <c r="E104" i="6"/>
  <c r="F59" i="5"/>
  <c r="F52" i="4" s="1"/>
  <c r="E59" i="5"/>
  <c r="E52" i="4" s="1"/>
  <c r="F57" i="5"/>
  <c r="E57" i="5"/>
  <c r="F56" i="5"/>
  <c r="F43" i="4" s="1"/>
  <c r="E56" i="5"/>
  <c r="E43" i="4" s="1"/>
  <c r="D54" i="1" l="1"/>
  <c r="F53" i="60" s="1"/>
  <c r="D8" i="3"/>
  <c r="E54" i="1"/>
  <c r="G53" i="60" s="1"/>
  <c r="E8" i="3"/>
  <c r="G52" i="4"/>
  <c r="G49" i="4"/>
  <c r="G50" i="4"/>
  <c r="G53" i="5"/>
  <c r="H107" i="6"/>
  <c r="F42" i="5"/>
  <c r="F35" i="4" s="1"/>
  <c r="E42" i="1" s="1"/>
  <c r="G19" i="60" s="1"/>
  <c r="E42" i="5"/>
  <c r="E35" i="4" s="1"/>
  <c r="D42" i="1" s="1"/>
  <c r="F19" i="60" s="1"/>
  <c r="F43" i="5"/>
  <c r="E43" i="5"/>
  <c r="F41" i="5"/>
  <c r="F32" i="4" s="1"/>
  <c r="E41" i="5"/>
  <c r="E32" i="4" s="1"/>
  <c r="F40" i="5"/>
  <c r="E40" i="5"/>
  <c r="F39" i="5"/>
  <c r="E39" i="5"/>
  <c r="G73" i="6"/>
  <c r="G71" i="6" s="1"/>
  <c r="F73" i="6"/>
  <c r="F71" i="6" s="1"/>
  <c r="H74" i="6"/>
  <c r="H73" i="6" l="1"/>
  <c r="F133" i="6"/>
  <c r="G133" i="6"/>
  <c r="E133" i="6"/>
  <c r="H23" i="6"/>
  <c r="K76" i="58" l="1"/>
  <c r="L37" i="58"/>
  <c r="L118" i="58"/>
  <c r="L117" i="58"/>
  <c r="L116" i="58"/>
  <c r="L115" i="58"/>
  <c r="L120" i="58"/>
  <c r="L119" i="58"/>
  <c r="E63" i="58"/>
  <c r="E64" i="58"/>
  <c r="E65" i="58"/>
  <c r="E174" i="58"/>
  <c r="E167" i="58"/>
  <c r="E168" i="58"/>
  <c r="L171" i="58"/>
  <c r="E134" i="58"/>
  <c r="I134" i="58" s="1"/>
  <c r="E135" i="58"/>
  <c r="I135" i="58" s="1"/>
  <c r="E136" i="58"/>
  <c r="I136" i="58" s="1"/>
  <c r="E166" i="58"/>
  <c r="E165" i="58"/>
  <c r="E164" i="58"/>
  <c r="E163" i="58"/>
  <c r="L168" i="58"/>
  <c r="K149" i="58"/>
  <c r="J149" i="58"/>
  <c r="K146" i="58"/>
  <c r="J146" i="58"/>
  <c r="L144" i="58"/>
  <c r="L149" i="58" l="1"/>
  <c r="J37" i="40"/>
  <c r="L12" i="57"/>
  <c r="L11" i="57"/>
  <c r="L10" i="57"/>
  <c r="L9" i="57"/>
  <c r="F126" i="6" l="1"/>
  <c r="G126" i="6"/>
  <c r="G183" i="7"/>
  <c r="E58" i="5" l="1"/>
  <c r="E53" i="4" s="1"/>
  <c r="E51" i="4" s="1"/>
  <c r="F125" i="6"/>
  <c r="F58" i="5"/>
  <c r="F53" i="4" s="1"/>
  <c r="G125" i="6"/>
  <c r="F15" i="17"/>
  <c r="F30" i="4"/>
  <c r="E30" i="4"/>
  <c r="F69" i="4"/>
  <c r="E69" i="4"/>
  <c r="F51" i="4" l="1"/>
  <c r="G58" i="5"/>
  <c r="J55" i="40" l="1"/>
  <c r="L132" i="58" l="1"/>
  <c r="E85" i="58" l="1"/>
  <c r="E86" i="58"/>
  <c r="E87" i="58"/>
  <c r="E88" i="58"/>
  <c r="E89" i="58"/>
  <c r="E90" i="58"/>
  <c r="E84" i="58"/>
  <c r="E43" i="58"/>
  <c r="E44" i="58"/>
  <c r="E45" i="58"/>
  <c r="E46" i="58"/>
  <c r="E47" i="58"/>
  <c r="E48" i="58"/>
  <c r="E49" i="58"/>
  <c r="E50" i="58"/>
  <c r="E51" i="58"/>
  <c r="E52" i="58"/>
  <c r="E53" i="58"/>
  <c r="E54" i="58"/>
  <c r="E55" i="58"/>
  <c r="E56" i="58"/>
  <c r="E57" i="58"/>
  <c r="E58" i="58"/>
  <c r="E59" i="58"/>
  <c r="E60" i="58"/>
  <c r="E61" i="58"/>
  <c r="E62" i="58"/>
  <c r="E30" i="58"/>
  <c r="E31" i="58"/>
  <c r="E32" i="58"/>
  <c r="E42" i="58"/>
  <c r="E6" i="58"/>
  <c r="E7" i="58"/>
  <c r="E8" i="58"/>
  <c r="E9" i="58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5" i="58"/>
  <c r="J76" i="58"/>
  <c r="E78" i="58"/>
  <c r="E79" i="58"/>
  <c r="E80" i="58"/>
  <c r="E81" i="58"/>
  <c r="E77" i="58"/>
  <c r="E126" i="58"/>
  <c r="E127" i="58"/>
  <c r="E128" i="58"/>
  <c r="E129" i="58"/>
  <c r="E130" i="58"/>
  <c r="E131" i="58"/>
  <c r="E132" i="58"/>
  <c r="E133" i="58"/>
  <c r="E125" i="58"/>
  <c r="E153" i="58"/>
  <c r="E150" i="58"/>
  <c r="E147" i="58"/>
  <c r="E162" i="58" l="1"/>
  <c r="E41" i="58"/>
  <c r="E83" i="58"/>
  <c r="AF6" i="69"/>
  <c r="AF7" i="69"/>
  <c r="AF9" i="69"/>
  <c r="AF10" i="69"/>
  <c r="AF11" i="69"/>
  <c r="AF12" i="69"/>
  <c r="AF13" i="69"/>
  <c r="AF14" i="69"/>
  <c r="AF15" i="69"/>
  <c r="AF17" i="69"/>
  <c r="AF25" i="69"/>
  <c r="AF26" i="69"/>
  <c r="AF35" i="69"/>
  <c r="AF37" i="69"/>
  <c r="AF39" i="69"/>
  <c r="AF40" i="69"/>
  <c r="AF41" i="69"/>
  <c r="AF43" i="69"/>
  <c r="AF44" i="69"/>
  <c r="AF46" i="69"/>
  <c r="AF48" i="69"/>
  <c r="AF49" i="69"/>
  <c r="AF50" i="69"/>
  <c r="AF51" i="69"/>
  <c r="AF54" i="69"/>
  <c r="G124" i="35" l="1"/>
  <c r="H21" i="35"/>
  <c r="H20" i="35"/>
  <c r="H6" i="35"/>
  <c r="H7" i="35"/>
  <c r="H8" i="35"/>
  <c r="H9" i="35"/>
  <c r="H10" i="35"/>
  <c r="H11" i="35"/>
  <c r="H12" i="35"/>
  <c r="G14" i="33"/>
  <c r="C26" i="2" l="1"/>
  <c r="AG55" i="69" l="1"/>
  <c r="H25" i="70"/>
  <c r="I25" i="70"/>
  <c r="J25" i="70"/>
  <c r="K25" i="70"/>
  <c r="L25" i="70"/>
  <c r="M25" i="70"/>
  <c r="O25" i="70"/>
  <c r="P25" i="70"/>
  <c r="Q25" i="70"/>
  <c r="R25" i="70"/>
  <c r="S25" i="70"/>
  <c r="T25" i="70"/>
  <c r="U25" i="70"/>
  <c r="B25" i="70"/>
  <c r="E25" i="70"/>
  <c r="F28" i="69"/>
  <c r="J28" i="69"/>
  <c r="L28" i="69"/>
  <c r="M28" i="69"/>
  <c r="N28" i="69"/>
  <c r="R28" i="69"/>
  <c r="S28" i="69"/>
  <c r="T28" i="69"/>
  <c r="U28" i="69"/>
  <c r="V28" i="69"/>
  <c r="W28" i="69"/>
  <c r="X28" i="69"/>
  <c r="Z28" i="69"/>
  <c r="AA28" i="69"/>
  <c r="AB28" i="69"/>
  <c r="AC28" i="69"/>
  <c r="F23" i="69"/>
  <c r="L23" i="69"/>
  <c r="M23" i="69"/>
  <c r="N23" i="69"/>
  <c r="R23" i="69"/>
  <c r="S23" i="69"/>
  <c r="T23" i="69"/>
  <c r="U23" i="69"/>
  <c r="V23" i="69"/>
  <c r="W23" i="69"/>
  <c r="X23" i="69"/>
  <c r="Z23" i="69"/>
  <c r="AA23" i="69"/>
  <c r="AB23" i="69"/>
  <c r="AC23" i="69"/>
  <c r="D18" i="69"/>
  <c r="F18" i="69"/>
  <c r="G18" i="69"/>
  <c r="I18" i="69"/>
  <c r="J18" i="69"/>
  <c r="L18" i="69"/>
  <c r="M18" i="69"/>
  <c r="N18" i="69"/>
  <c r="O18" i="69"/>
  <c r="P18" i="69"/>
  <c r="Q18" i="69"/>
  <c r="R18" i="69"/>
  <c r="S18" i="69"/>
  <c r="T18" i="69"/>
  <c r="U18" i="69"/>
  <c r="V18" i="69"/>
  <c r="W18" i="69"/>
  <c r="X18" i="69"/>
  <c r="Z18" i="69"/>
  <c r="AA18" i="69"/>
  <c r="AB18" i="69"/>
  <c r="AC18" i="69"/>
  <c r="D8" i="69"/>
  <c r="E8" i="69"/>
  <c r="F8" i="69"/>
  <c r="G8" i="69"/>
  <c r="H8" i="69"/>
  <c r="I8" i="69"/>
  <c r="J8" i="69"/>
  <c r="K8" i="69"/>
  <c r="L8" i="69"/>
  <c r="M8" i="69"/>
  <c r="N8" i="69"/>
  <c r="O8" i="69"/>
  <c r="P8" i="69"/>
  <c r="Q8" i="69"/>
  <c r="R8" i="69"/>
  <c r="S8" i="69"/>
  <c r="T8" i="69"/>
  <c r="U8" i="69"/>
  <c r="V8" i="69"/>
  <c r="W8" i="69"/>
  <c r="X8" i="69"/>
  <c r="Z8" i="69"/>
  <c r="AA8" i="69"/>
  <c r="AB8" i="69"/>
  <c r="AC8" i="69"/>
  <c r="C28" i="69"/>
  <c r="C23" i="69"/>
  <c r="C18" i="69"/>
  <c r="C8" i="69"/>
  <c r="AE6" i="69"/>
  <c r="AE7" i="69"/>
  <c r="AE9" i="69"/>
  <c r="AE10" i="69"/>
  <c r="AE11" i="69"/>
  <c r="AE12" i="69"/>
  <c r="AE13" i="69"/>
  <c r="AE14" i="69"/>
  <c r="AE15" i="69"/>
  <c r="AE17" i="69"/>
  <c r="AE19" i="69"/>
  <c r="AE20" i="69"/>
  <c r="AE21" i="69"/>
  <c r="AE25" i="69"/>
  <c r="AE26" i="69"/>
  <c r="AE35" i="69"/>
  <c r="AE36" i="69"/>
  <c r="AE37" i="69"/>
  <c r="AE38" i="69"/>
  <c r="AE39" i="69"/>
  <c r="AE40" i="69"/>
  <c r="AE41" i="69"/>
  <c r="AE43" i="69"/>
  <c r="AE44" i="69"/>
  <c r="AE46" i="69"/>
  <c r="AE48" i="69"/>
  <c r="AE49" i="69"/>
  <c r="AE50" i="69"/>
  <c r="AE51" i="69"/>
  <c r="Z7" i="70"/>
  <c r="Z8" i="70"/>
  <c r="Z9" i="70"/>
  <c r="Z10" i="70"/>
  <c r="Z11" i="70"/>
  <c r="Z12" i="70"/>
  <c r="Z13" i="70"/>
  <c r="Z14" i="70"/>
  <c r="Z15" i="70"/>
  <c r="Z16" i="70"/>
  <c r="Z21" i="70"/>
  <c r="N12" i="71"/>
  <c r="M8" i="71"/>
  <c r="M9" i="71"/>
  <c r="M10" i="71"/>
  <c r="M11" i="71"/>
  <c r="M12" i="71"/>
  <c r="M13" i="71"/>
  <c r="M14" i="71"/>
  <c r="M7" i="71"/>
  <c r="L7" i="71"/>
  <c r="N13" i="71"/>
  <c r="N9" i="71"/>
  <c r="N11" i="71"/>
  <c r="N7" i="71"/>
  <c r="AF38" i="69"/>
  <c r="AF36" i="69"/>
  <c r="K18" i="69"/>
  <c r="AF20" i="69" l="1"/>
  <c r="AF21" i="69"/>
  <c r="K28" i="69"/>
  <c r="N10" i="71"/>
  <c r="N8" i="71"/>
  <c r="N14" i="71"/>
  <c r="AF8" i="69"/>
  <c r="AC55" i="69"/>
  <c r="AA55" i="69"/>
  <c r="X55" i="69"/>
  <c r="V55" i="69"/>
  <c r="R55" i="69"/>
  <c r="N55" i="69"/>
  <c r="L55" i="69"/>
  <c r="H18" i="69"/>
  <c r="AF18" i="69" s="1"/>
  <c r="AF19" i="69"/>
  <c r="C55" i="69"/>
  <c r="AB55" i="69"/>
  <c r="Z55" i="69"/>
  <c r="W55" i="69"/>
  <c r="U55" i="69"/>
  <c r="M55" i="69"/>
  <c r="F55" i="69"/>
  <c r="E18" i="69"/>
  <c r="AE8" i="69"/>
  <c r="AE18" i="69"/>
  <c r="G17" i="6" l="1"/>
  <c r="G16" i="6" s="1"/>
  <c r="G15" i="6" s="1"/>
  <c r="H103" i="6" l="1"/>
  <c r="H109" i="6"/>
  <c r="H110" i="6"/>
  <c r="H111" i="6"/>
  <c r="H112" i="6"/>
  <c r="H113" i="6"/>
  <c r="H114" i="6"/>
  <c r="H115" i="6"/>
  <c r="H116" i="6"/>
  <c r="H117" i="6"/>
  <c r="H118" i="6"/>
  <c r="H119" i="6"/>
  <c r="H123" i="6"/>
  <c r="H124" i="6"/>
  <c r="M16" i="71" l="1"/>
  <c r="N16" i="71"/>
  <c r="I16" i="71"/>
  <c r="J16" i="71"/>
  <c r="F16" i="71"/>
  <c r="G16" i="71"/>
  <c r="C16" i="71"/>
  <c r="D16" i="71"/>
  <c r="C34" i="70"/>
  <c r="D34" i="70"/>
  <c r="H4" i="58"/>
  <c r="D37" i="70" l="1"/>
  <c r="C37" i="70"/>
  <c r="F125" i="60"/>
  <c r="F130" i="60" s="1"/>
  <c r="I12" i="2"/>
  <c r="H12" i="2"/>
  <c r="D48" i="5"/>
  <c r="E66" i="60" l="1"/>
  <c r="I66" i="60" s="1"/>
  <c r="E75" i="60"/>
  <c r="K4" i="57" l="1"/>
  <c r="J4" i="57"/>
  <c r="L19" i="57"/>
  <c r="L20" i="57"/>
  <c r="L18" i="57"/>
  <c r="L186" i="58"/>
  <c r="L182" i="58"/>
  <c r="L183" i="58"/>
  <c r="L184" i="58"/>
  <c r="L185" i="58"/>
  <c r="L181" i="58"/>
  <c r="K28" i="57" l="1"/>
  <c r="J28" i="57"/>
  <c r="L17" i="57"/>
  <c r="D42" i="4"/>
  <c r="E99" i="4"/>
  <c r="E114" i="4"/>
  <c r="U97" i="37" l="1"/>
  <c r="F20" i="17"/>
  <c r="F110" i="5"/>
  <c r="K109" i="5" s="1"/>
  <c r="F99" i="5"/>
  <c r="F114" i="4" s="1"/>
  <c r="E100" i="5"/>
  <c r="E54" i="17"/>
  <c r="F32" i="30"/>
  <c r="E32" i="30"/>
  <c r="H184" i="7"/>
  <c r="H185" i="7"/>
  <c r="H186" i="7"/>
  <c r="H187" i="7"/>
  <c r="H188" i="7"/>
  <c r="F171" i="7" l="1"/>
  <c r="G171" i="7"/>
  <c r="F68" i="5"/>
  <c r="F64" i="5"/>
  <c r="E64" i="5"/>
  <c r="F63" i="5"/>
  <c r="E63" i="5"/>
  <c r="F37" i="5"/>
  <c r="F42" i="4"/>
  <c r="E49" i="1" s="1"/>
  <c r="E42" i="4"/>
  <c r="D49" i="1" s="1"/>
  <c r="E41" i="4"/>
  <c r="F41" i="4"/>
  <c r="D41" i="4"/>
  <c r="C48" i="1" s="1"/>
  <c r="E9" i="6"/>
  <c r="G9" i="6"/>
  <c r="F17" i="6"/>
  <c r="H25" i="6"/>
  <c r="H20" i="6"/>
  <c r="H21" i="6"/>
  <c r="H22" i="6"/>
  <c r="H122" i="6" l="1"/>
  <c r="F27" i="17" l="1"/>
  <c r="E27" i="17"/>
  <c r="F22" i="17"/>
  <c r="E22" i="17"/>
  <c r="F39" i="17"/>
  <c r="E39" i="17"/>
  <c r="F42" i="8"/>
  <c r="D22" i="70" s="1"/>
  <c r="G22" i="70" s="1"/>
  <c r="E42" i="8"/>
  <c r="C22" i="70" s="1"/>
  <c r="F22" i="70" s="1"/>
  <c r="F47" i="8"/>
  <c r="F29" i="8"/>
  <c r="Z22" i="70" l="1"/>
  <c r="AA22" i="70"/>
  <c r="G39" i="60"/>
  <c r="E11" i="2"/>
  <c r="G42" i="8"/>
  <c r="F39" i="60"/>
  <c r="D11" i="2"/>
  <c r="F28" i="8"/>
  <c r="D28" i="8"/>
  <c r="E28" i="8"/>
  <c r="G28" i="8" l="1"/>
  <c r="L29" i="58"/>
  <c r="K162" i="58" l="1"/>
  <c r="J162" i="58"/>
  <c r="L166" i="58"/>
  <c r="L165" i="58"/>
  <c r="L172" i="58"/>
  <c r="L167" i="58"/>
  <c r="L164" i="58"/>
  <c r="L163" i="58"/>
  <c r="H152" i="58"/>
  <c r="L156" i="58"/>
  <c r="F25" i="25" l="1"/>
  <c r="E25" i="25"/>
  <c r="F38" i="26" l="1"/>
  <c r="E38" i="26"/>
  <c r="D102" i="1" l="1"/>
  <c r="E102" i="1"/>
  <c r="D103" i="1"/>
  <c r="E103" i="1"/>
  <c r="D104" i="1"/>
  <c r="E104" i="1"/>
  <c r="D105" i="1"/>
  <c r="E105" i="1"/>
  <c r="D118" i="1"/>
  <c r="D28" i="1"/>
  <c r="E28" i="1"/>
  <c r="D37" i="1"/>
  <c r="E37" i="1"/>
  <c r="D39" i="1"/>
  <c r="F14" i="60" s="1"/>
  <c r="E39" i="1"/>
  <c r="G14" i="60" s="1"/>
  <c r="D45" i="1"/>
  <c r="E45" i="1"/>
  <c r="D46" i="1"/>
  <c r="E46" i="1"/>
  <c r="D47" i="1"/>
  <c r="E47" i="1"/>
  <c r="D48" i="1"/>
  <c r="E48" i="1"/>
  <c r="D53" i="1"/>
  <c r="E53" i="1"/>
  <c r="D56" i="1"/>
  <c r="E56" i="1"/>
  <c r="D71" i="1"/>
  <c r="E71" i="1"/>
  <c r="H26" i="2"/>
  <c r="J130" i="60" s="1"/>
  <c r="E10" i="4"/>
  <c r="D7" i="1" s="1"/>
  <c r="F22" i="60" s="1"/>
  <c r="F10" i="4"/>
  <c r="E13" i="4"/>
  <c r="D10" i="1" s="1"/>
  <c r="F13" i="4"/>
  <c r="E10" i="1" s="1"/>
  <c r="E14" i="4"/>
  <c r="D11" i="1" s="1"/>
  <c r="F14" i="4"/>
  <c r="E11" i="1" s="1"/>
  <c r="E60" i="4"/>
  <c r="D27" i="1" s="1"/>
  <c r="F60" i="4"/>
  <c r="E27" i="1" s="1"/>
  <c r="E62" i="4"/>
  <c r="D29" i="1" s="1"/>
  <c r="F62" i="4"/>
  <c r="E29" i="1" s="1"/>
  <c r="E63" i="4"/>
  <c r="D30" i="1" s="1"/>
  <c r="F63" i="4"/>
  <c r="E30" i="1" s="1"/>
  <c r="E64" i="4"/>
  <c r="D31" i="1" s="1"/>
  <c r="F64" i="4"/>
  <c r="E31" i="1" s="1"/>
  <c r="E65" i="4"/>
  <c r="D32" i="1" s="1"/>
  <c r="F65" i="4"/>
  <c r="E32" i="1" s="1"/>
  <c r="E88" i="4"/>
  <c r="D90" i="1" s="1"/>
  <c r="F88" i="4"/>
  <c r="E89" i="4"/>
  <c r="D91" i="1" s="1"/>
  <c r="F89" i="4"/>
  <c r="E91" i="1" s="1"/>
  <c r="E90" i="4"/>
  <c r="D92" i="1" s="1"/>
  <c r="F90" i="4"/>
  <c r="E92" i="1" s="1"/>
  <c r="E93" i="4"/>
  <c r="D95" i="1" s="1"/>
  <c r="F93" i="4"/>
  <c r="E95" i="4"/>
  <c r="D97" i="1" s="1"/>
  <c r="F95" i="4"/>
  <c r="E97" i="1" s="1"/>
  <c r="E96" i="4"/>
  <c r="F96" i="4"/>
  <c r="E9" i="4"/>
  <c r="F9" i="4"/>
  <c r="D9" i="1"/>
  <c r="E22" i="5"/>
  <c r="F22" i="5"/>
  <c r="E23" i="5"/>
  <c r="F23" i="5"/>
  <c r="E27" i="5"/>
  <c r="E58" i="4" s="1"/>
  <c r="F27" i="5"/>
  <c r="E29" i="5"/>
  <c r="F29" i="5"/>
  <c r="E37" i="5"/>
  <c r="F31" i="4"/>
  <c r="G13" i="60" s="1"/>
  <c r="E51" i="5"/>
  <c r="F51" i="5"/>
  <c r="E60" i="5"/>
  <c r="F60" i="5"/>
  <c r="E62" i="5"/>
  <c r="F62" i="5"/>
  <c r="E73" i="5"/>
  <c r="F73" i="5"/>
  <c r="E84" i="5"/>
  <c r="F84" i="5"/>
  <c r="F102" i="5"/>
  <c r="E113" i="5"/>
  <c r="F113" i="5"/>
  <c r="E9" i="8"/>
  <c r="F9" i="8"/>
  <c r="G9" i="8"/>
  <c r="E10" i="8"/>
  <c r="F10" i="8"/>
  <c r="G10" i="8"/>
  <c r="E11" i="8"/>
  <c r="F11" i="8"/>
  <c r="G11" i="8"/>
  <c r="E12" i="8"/>
  <c r="F12" i="8"/>
  <c r="G12" i="8"/>
  <c r="E13" i="8"/>
  <c r="E16" i="4" s="1"/>
  <c r="D13" i="1" s="1"/>
  <c r="F13" i="8"/>
  <c r="F16" i="4" s="1"/>
  <c r="E13" i="1" s="1"/>
  <c r="G13" i="8"/>
  <c r="E14" i="8"/>
  <c r="F14" i="8"/>
  <c r="G14" i="8"/>
  <c r="E15" i="8"/>
  <c r="F15" i="8"/>
  <c r="G15" i="8"/>
  <c r="E16" i="8"/>
  <c r="F16" i="8"/>
  <c r="G16" i="8"/>
  <c r="E18" i="8"/>
  <c r="F18" i="8"/>
  <c r="E19" i="8"/>
  <c r="F30" i="7" s="1"/>
  <c r="F19" i="8"/>
  <c r="G30" i="7" s="1"/>
  <c r="G19" i="8"/>
  <c r="E20" i="8"/>
  <c r="F20" i="8"/>
  <c r="G20" i="8"/>
  <c r="E21" i="8"/>
  <c r="E34" i="4" s="1"/>
  <c r="F21" i="8"/>
  <c r="F34" i="4" s="1"/>
  <c r="G18" i="60" s="1"/>
  <c r="G21" i="8"/>
  <c r="E22" i="8"/>
  <c r="F22" i="8"/>
  <c r="G22" i="8"/>
  <c r="E23" i="8"/>
  <c r="E15" i="4" s="1"/>
  <c r="F23" i="8"/>
  <c r="G23" i="8"/>
  <c r="E24" i="8"/>
  <c r="F24" i="8"/>
  <c r="G24" i="8"/>
  <c r="E26" i="8"/>
  <c r="F26" i="8"/>
  <c r="G26" i="8"/>
  <c r="E27" i="8"/>
  <c r="F27" i="8"/>
  <c r="G27" i="8"/>
  <c r="E34" i="8"/>
  <c r="F34" i="8"/>
  <c r="E35" i="8"/>
  <c r="F35" i="8"/>
  <c r="E36" i="8"/>
  <c r="F36" i="8"/>
  <c r="E37" i="8"/>
  <c r="F37" i="8"/>
  <c r="E38" i="8"/>
  <c r="F38" i="8"/>
  <c r="E44" i="8"/>
  <c r="F44" i="8"/>
  <c r="E45" i="8"/>
  <c r="F45" i="8"/>
  <c r="E46" i="8"/>
  <c r="E116" i="4" s="1"/>
  <c r="F46" i="8"/>
  <c r="F116" i="4" s="1"/>
  <c r="G50" i="8"/>
  <c r="E51" i="8"/>
  <c r="E127" i="4" s="1"/>
  <c r="F51" i="8"/>
  <c r="F127" i="4" s="1"/>
  <c r="G51" i="8"/>
  <c r="E8" i="9"/>
  <c r="F8" i="9"/>
  <c r="E17" i="9"/>
  <c r="F17" i="9"/>
  <c r="E25" i="9"/>
  <c r="F25" i="9"/>
  <c r="E33" i="9"/>
  <c r="F33" i="9"/>
  <c r="E39" i="9"/>
  <c r="F39" i="9"/>
  <c r="E8" i="10"/>
  <c r="F8" i="10"/>
  <c r="E17" i="10"/>
  <c r="F17" i="10"/>
  <c r="E25" i="10"/>
  <c r="F25" i="10"/>
  <c r="E30" i="10"/>
  <c r="F30" i="10"/>
  <c r="E33" i="10"/>
  <c r="F33" i="10"/>
  <c r="E39" i="10"/>
  <c r="F39" i="10"/>
  <c r="E8" i="11"/>
  <c r="F8" i="11"/>
  <c r="E17" i="11"/>
  <c r="F17" i="11"/>
  <c r="E25" i="11"/>
  <c r="F25" i="11"/>
  <c r="E30" i="11"/>
  <c r="F30" i="11"/>
  <c r="E33" i="11"/>
  <c r="F33" i="11"/>
  <c r="E39" i="11"/>
  <c r="F39" i="11"/>
  <c r="E8" i="12"/>
  <c r="F8" i="12"/>
  <c r="E17" i="12"/>
  <c r="F17" i="12"/>
  <c r="E25" i="12"/>
  <c r="F25" i="12"/>
  <c r="E30" i="12"/>
  <c r="F30" i="12"/>
  <c r="E33" i="12"/>
  <c r="F33" i="12"/>
  <c r="E39" i="12"/>
  <c r="F39" i="12"/>
  <c r="E8" i="13"/>
  <c r="F8" i="13"/>
  <c r="E17" i="13"/>
  <c r="F17" i="13"/>
  <c r="E25" i="13"/>
  <c r="F25" i="13"/>
  <c r="E30" i="13"/>
  <c r="F30" i="13"/>
  <c r="E33" i="13"/>
  <c r="F33" i="13"/>
  <c r="E39" i="13"/>
  <c r="F39" i="13"/>
  <c r="E8" i="14"/>
  <c r="F8" i="14"/>
  <c r="E17" i="14"/>
  <c r="F17" i="14"/>
  <c r="E25" i="14"/>
  <c r="F25" i="14"/>
  <c r="E30" i="14"/>
  <c r="F30" i="14"/>
  <c r="E34" i="14"/>
  <c r="F34" i="14"/>
  <c r="E40" i="14"/>
  <c r="F40" i="14"/>
  <c r="E8" i="15"/>
  <c r="F8" i="15"/>
  <c r="E17" i="15"/>
  <c r="F17" i="15"/>
  <c r="E25" i="15"/>
  <c r="F25" i="15"/>
  <c r="E30" i="15"/>
  <c r="F30" i="15"/>
  <c r="E33" i="15"/>
  <c r="F33" i="15"/>
  <c r="E39" i="15"/>
  <c r="F39" i="15"/>
  <c r="E8" i="16"/>
  <c r="F8" i="16"/>
  <c r="E17" i="16"/>
  <c r="F17" i="16"/>
  <c r="E25" i="16"/>
  <c r="F25" i="16"/>
  <c r="E30" i="16"/>
  <c r="F30" i="16"/>
  <c r="E34" i="16"/>
  <c r="F34" i="16"/>
  <c r="E40" i="16"/>
  <c r="F40" i="16"/>
  <c r="E9" i="17"/>
  <c r="F9" i="17"/>
  <c r="E11" i="17"/>
  <c r="F11" i="17"/>
  <c r="E12" i="17"/>
  <c r="F12" i="17"/>
  <c r="F21" i="4" s="1"/>
  <c r="E18" i="1" s="1"/>
  <c r="G32" i="60" s="1"/>
  <c r="E13" i="17"/>
  <c r="E22" i="4" s="1"/>
  <c r="D19" i="1" s="1"/>
  <c r="F33" i="60" s="1"/>
  <c r="F13" i="17"/>
  <c r="F22" i="4" s="1"/>
  <c r="E19" i="1" s="1"/>
  <c r="G33" i="60" s="1"/>
  <c r="E14" i="17"/>
  <c r="F14" i="17"/>
  <c r="E15" i="17"/>
  <c r="F16" i="17"/>
  <c r="E20" i="17"/>
  <c r="E21" i="17"/>
  <c r="F21" i="17"/>
  <c r="D40" i="1"/>
  <c r="E40" i="1"/>
  <c r="E30" i="17"/>
  <c r="F30" i="17"/>
  <c r="E47" i="17"/>
  <c r="F47" i="17"/>
  <c r="E49" i="17"/>
  <c r="F49" i="17"/>
  <c r="E51" i="17"/>
  <c r="F51" i="17"/>
  <c r="E53" i="17"/>
  <c r="E86" i="4" s="1"/>
  <c r="D88" i="1" s="1"/>
  <c r="F53" i="17"/>
  <c r="E8" i="24"/>
  <c r="F8" i="24"/>
  <c r="E17" i="24"/>
  <c r="F17" i="24"/>
  <c r="E25" i="24"/>
  <c r="F25" i="24"/>
  <c r="E30" i="24"/>
  <c r="E33" i="24"/>
  <c r="F33" i="24"/>
  <c r="E42" i="24"/>
  <c r="F42" i="24"/>
  <c r="E50" i="24"/>
  <c r="F50" i="24"/>
  <c r="E8" i="25"/>
  <c r="F8" i="25"/>
  <c r="E17" i="25"/>
  <c r="F17" i="25"/>
  <c r="E33" i="25"/>
  <c r="F33" i="25"/>
  <c r="E42" i="25"/>
  <c r="F42" i="25"/>
  <c r="E50" i="25"/>
  <c r="F50" i="25"/>
  <c r="E8" i="26"/>
  <c r="F8" i="26"/>
  <c r="E17" i="26"/>
  <c r="F17" i="26"/>
  <c r="E24" i="26"/>
  <c r="F24" i="26"/>
  <c r="E32" i="26"/>
  <c r="E45" i="26" s="1"/>
  <c r="F32" i="26"/>
  <c r="F45" i="26" s="1"/>
  <c r="E8" i="27"/>
  <c r="F8" i="27"/>
  <c r="E17" i="27"/>
  <c r="F17" i="27"/>
  <c r="E24" i="27"/>
  <c r="F24" i="27"/>
  <c r="E32" i="27"/>
  <c r="F32" i="27"/>
  <c r="E38" i="27"/>
  <c r="F38" i="27"/>
  <c r="E8" i="28"/>
  <c r="P32" i="69" s="1"/>
  <c r="F8" i="28"/>
  <c r="Q32" i="69" s="1"/>
  <c r="E17" i="28"/>
  <c r="F17" i="28"/>
  <c r="E24" i="28"/>
  <c r="F24" i="28"/>
  <c r="E32" i="28"/>
  <c r="F32" i="28"/>
  <c r="E38" i="28"/>
  <c r="F38" i="28"/>
  <c r="E8" i="29"/>
  <c r="P29" i="69" s="1"/>
  <c r="F8" i="29"/>
  <c r="Q29" i="69" s="1"/>
  <c r="E17" i="29"/>
  <c r="F17" i="29"/>
  <c r="E24" i="29"/>
  <c r="F24" i="29"/>
  <c r="E32" i="29"/>
  <c r="F32" i="29"/>
  <c r="E38" i="29"/>
  <c r="F38" i="29"/>
  <c r="E8" i="30"/>
  <c r="P27" i="69" s="1"/>
  <c r="F8" i="30"/>
  <c r="Q27" i="69" s="1"/>
  <c r="E17" i="30"/>
  <c r="F17" i="30"/>
  <c r="E24" i="30"/>
  <c r="F24" i="30"/>
  <c r="E39" i="30"/>
  <c r="F39" i="30"/>
  <c r="E17" i="31"/>
  <c r="J24" i="69" s="1"/>
  <c r="J23" i="69" s="1"/>
  <c r="F17" i="31"/>
  <c r="K24" i="69" s="1"/>
  <c r="K23" i="69" s="1"/>
  <c r="E24" i="31"/>
  <c r="F24" i="31"/>
  <c r="E32" i="31"/>
  <c r="F32" i="31"/>
  <c r="E38" i="31"/>
  <c r="F38" i="31"/>
  <c r="E8" i="32"/>
  <c r="F8" i="32"/>
  <c r="E17" i="32"/>
  <c r="F17" i="32"/>
  <c r="E26" i="32"/>
  <c r="F26" i="32"/>
  <c r="E34" i="32"/>
  <c r="F34" i="32"/>
  <c r="E40" i="32"/>
  <c r="F40" i="32"/>
  <c r="E8" i="34"/>
  <c r="P30" i="69" s="1"/>
  <c r="F8" i="34"/>
  <c r="Q30" i="69" s="1"/>
  <c r="E17" i="34"/>
  <c r="F17" i="34"/>
  <c r="E25" i="34"/>
  <c r="F25" i="34"/>
  <c r="E33" i="34"/>
  <c r="F33" i="34"/>
  <c r="E39" i="34"/>
  <c r="F39" i="34"/>
  <c r="L6" i="37"/>
  <c r="L8" i="37"/>
  <c r="L13" i="37"/>
  <c r="L14" i="37"/>
  <c r="L15" i="37"/>
  <c r="L18" i="37"/>
  <c r="L22" i="37"/>
  <c r="L23" i="37"/>
  <c r="L24" i="37"/>
  <c r="L26" i="37"/>
  <c r="L36" i="37"/>
  <c r="L37" i="37"/>
  <c r="L41" i="37"/>
  <c r="L42" i="37"/>
  <c r="L43" i="37"/>
  <c r="L45" i="37"/>
  <c r="L52" i="37"/>
  <c r="L53" i="37"/>
  <c r="L54" i="37"/>
  <c r="L57" i="37"/>
  <c r="L58" i="37"/>
  <c r="L59" i="37"/>
  <c r="L62" i="37"/>
  <c r="L63" i="37"/>
  <c r="L64" i="37"/>
  <c r="L65" i="37"/>
  <c r="L66" i="37"/>
  <c r="L67" i="37"/>
  <c r="L72" i="37"/>
  <c r="L73" i="37"/>
  <c r="L76" i="37"/>
  <c r="L77" i="37"/>
  <c r="L78" i="37"/>
  <c r="L79" i="37"/>
  <c r="L82" i="37"/>
  <c r="L83" i="37"/>
  <c r="L84" i="37"/>
  <c r="L85" i="37"/>
  <c r="L86" i="37"/>
  <c r="L87" i="37"/>
  <c r="L92" i="37"/>
  <c r="L93" i="37"/>
  <c r="L96" i="37"/>
  <c r="L97" i="37"/>
  <c r="L98" i="37"/>
  <c r="L102" i="37"/>
  <c r="L103" i="37"/>
  <c r="L104" i="37"/>
  <c r="L105" i="37"/>
  <c r="L110" i="37"/>
  <c r="L111" i="37"/>
  <c r="L114" i="37"/>
  <c r="L115" i="37"/>
  <c r="L116" i="37"/>
  <c r="L119" i="37"/>
  <c r="L120" i="37"/>
  <c r="L121" i="37"/>
  <c r="L122" i="37"/>
  <c r="L133" i="37"/>
  <c r="L134" i="37"/>
  <c r="L135" i="37"/>
  <c r="L138" i="37"/>
  <c r="L139" i="37"/>
  <c r="L140" i="37"/>
  <c r="L142" i="37"/>
  <c r="L148" i="37"/>
  <c r="L157" i="37"/>
  <c r="L158" i="37"/>
  <c r="L159" i="37"/>
  <c r="J151" i="37"/>
  <c r="J150" i="37" s="1"/>
  <c r="J155" i="37" s="1"/>
  <c r="K151" i="37"/>
  <c r="K150" i="37" s="1"/>
  <c r="K155" i="37" s="1"/>
  <c r="J163" i="37"/>
  <c r="K163" i="37"/>
  <c r="J167" i="37"/>
  <c r="E49" i="36" s="1"/>
  <c r="E64" i="17" s="1"/>
  <c r="K167" i="37"/>
  <c r="F49" i="36" s="1"/>
  <c r="F64" i="17" s="1"/>
  <c r="J127" i="37"/>
  <c r="K127" i="37"/>
  <c r="J132" i="37"/>
  <c r="J131" i="37" s="1"/>
  <c r="K132" i="37"/>
  <c r="K131" i="37" s="1"/>
  <c r="K144" i="37"/>
  <c r="J113" i="37"/>
  <c r="J112" i="37" s="1"/>
  <c r="J117" i="37" s="1"/>
  <c r="K113" i="37"/>
  <c r="K112" i="37" s="1"/>
  <c r="K117" i="37" s="1"/>
  <c r="J123" i="37"/>
  <c r="K123" i="37"/>
  <c r="J95" i="37"/>
  <c r="J94" i="37" s="1"/>
  <c r="J99" i="37" s="1"/>
  <c r="K95" i="37"/>
  <c r="K94" i="37" s="1"/>
  <c r="K99" i="37" s="1"/>
  <c r="J106" i="37"/>
  <c r="K106" i="37"/>
  <c r="J75" i="37"/>
  <c r="J74" i="37" s="1"/>
  <c r="J80" i="37" s="1"/>
  <c r="K75" i="37"/>
  <c r="K74" i="37" s="1"/>
  <c r="K80" i="37" s="1"/>
  <c r="J88" i="37"/>
  <c r="K88" i="37"/>
  <c r="J51" i="37"/>
  <c r="K51" i="37"/>
  <c r="J56" i="37"/>
  <c r="J55" i="37" s="1"/>
  <c r="K56" i="37"/>
  <c r="K55" i="37" s="1"/>
  <c r="J68" i="37"/>
  <c r="K68" i="37"/>
  <c r="J35" i="37"/>
  <c r="J34" i="37" s="1"/>
  <c r="J39" i="37" s="1"/>
  <c r="K35" i="37"/>
  <c r="K34" i="37" s="1"/>
  <c r="K39" i="37" s="1"/>
  <c r="J47" i="37"/>
  <c r="K47" i="37"/>
  <c r="J5" i="37"/>
  <c r="J20" i="37" s="1"/>
  <c r="K20" i="37"/>
  <c r="J28" i="37"/>
  <c r="K28" i="37"/>
  <c r="T92" i="37"/>
  <c r="U92" i="37"/>
  <c r="T93" i="37"/>
  <c r="U93" i="37"/>
  <c r="T96" i="37"/>
  <c r="E18" i="36" s="1"/>
  <c r="S16" i="69" s="1"/>
  <c r="S55" i="69" s="1"/>
  <c r="C33" i="70" s="1"/>
  <c r="U96" i="37"/>
  <c r="F18" i="36" s="1"/>
  <c r="T16" i="69" s="1"/>
  <c r="T55" i="69" s="1"/>
  <c r="D33" i="70" s="1"/>
  <c r="T98" i="37"/>
  <c r="U98" i="37"/>
  <c r="T99" i="37"/>
  <c r="U99" i="37"/>
  <c r="F30" i="36" s="1"/>
  <c r="F41" i="17" s="1"/>
  <c r="F77" i="4" s="1"/>
  <c r="E79" i="1" s="1"/>
  <c r="G76" i="60" s="1"/>
  <c r="T100" i="37"/>
  <c r="E26" i="36" s="1"/>
  <c r="E38" i="17" s="1"/>
  <c r="E71" i="4" s="1"/>
  <c r="U100" i="37"/>
  <c r="F26" i="36" s="1"/>
  <c r="F38" i="17" s="1"/>
  <c r="F71" i="4" s="1"/>
  <c r="T101" i="37"/>
  <c r="U101" i="37"/>
  <c r="T104" i="37"/>
  <c r="E35" i="36" s="1"/>
  <c r="E46" i="17" s="1"/>
  <c r="U104" i="37"/>
  <c r="F35" i="36" s="1"/>
  <c r="F46" i="17" s="1"/>
  <c r="T105" i="37"/>
  <c r="E36" i="36" s="1"/>
  <c r="U105" i="37"/>
  <c r="F36" i="36" s="1"/>
  <c r="T106" i="37"/>
  <c r="E37" i="36" s="1"/>
  <c r="E50" i="17" s="1"/>
  <c r="U106" i="37"/>
  <c r="F37" i="36" s="1"/>
  <c r="F50" i="17" s="1"/>
  <c r="T107" i="37"/>
  <c r="E42" i="36" s="1"/>
  <c r="E57" i="17" s="1"/>
  <c r="C20" i="70" s="1"/>
  <c r="U107" i="37"/>
  <c r="F42" i="36" s="1"/>
  <c r="F57" i="17" s="1"/>
  <c r="D20" i="70" s="1"/>
  <c r="T108" i="37"/>
  <c r="E41" i="36" s="1"/>
  <c r="E56" i="17" s="1"/>
  <c r="C23" i="70" s="1"/>
  <c r="F23" i="70" s="1"/>
  <c r="U108" i="37"/>
  <c r="F41" i="36" s="1"/>
  <c r="F56" i="17" s="1"/>
  <c r="D23" i="70" s="1"/>
  <c r="G23" i="70" s="1"/>
  <c r="T109" i="37"/>
  <c r="F46" i="36"/>
  <c r="F61" i="17" s="1"/>
  <c r="F123" i="4" s="1"/>
  <c r="L68" i="4" l="1"/>
  <c r="F126" i="4"/>
  <c r="F128" i="4" s="1"/>
  <c r="F86" i="4"/>
  <c r="K68" i="4"/>
  <c r="G11" i="60"/>
  <c r="F25" i="60"/>
  <c r="G25" i="24"/>
  <c r="J53" i="69"/>
  <c r="E68" i="4"/>
  <c r="F54" i="4"/>
  <c r="E58" i="1" s="1"/>
  <c r="G56" i="60" s="1"/>
  <c r="E41" i="1"/>
  <c r="F15" i="4"/>
  <c r="E12" i="1" s="1"/>
  <c r="G27" i="60" s="1"/>
  <c r="F68" i="4"/>
  <c r="E54" i="4"/>
  <c r="D58" i="1" s="1"/>
  <c r="F56" i="60" s="1"/>
  <c r="E47" i="4"/>
  <c r="D52" i="1" s="1"/>
  <c r="F52" i="60" s="1"/>
  <c r="F51" i="60" s="1"/>
  <c r="D6" i="1"/>
  <c r="K53" i="69"/>
  <c r="E30" i="9"/>
  <c r="F29" i="27"/>
  <c r="E29" i="27"/>
  <c r="E29" i="26"/>
  <c r="Q22" i="69"/>
  <c r="F30" i="25"/>
  <c r="K22" i="69"/>
  <c r="E30" i="25"/>
  <c r="J22" i="69"/>
  <c r="AF30" i="69"/>
  <c r="Q28" i="69"/>
  <c r="AE30" i="69"/>
  <c r="P28" i="69"/>
  <c r="F28" i="36"/>
  <c r="F40" i="17" s="1"/>
  <c r="L67" i="4" s="1"/>
  <c r="D111" i="1"/>
  <c r="H14" i="3"/>
  <c r="F113" i="60" s="1"/>
  <c r="E28" i="36"/>
  <c r="E111" i="1"/>
  <c r="I14" i="3"/>
  <c r="G113" i="60" s="1"/>
  <c r="AA23" i="70"/>
  <c r="G20" i="70"/>
  <c r="Z23" i="70"/>
  <c r="F20" i="70"/>
  <c r="E44" i="1"/>
  <c r="F11" i="60"/>
  <c r="D44" i="1"/>
  <c r="F46" i="9"/>
  <c r="D23" i="1"/>
  <c r="D12" i="1"/>
  <c r="F27" i="60" s="1"/>
  <c r="F47" i="4"/>
  <c r="E52" i="1" s="1"/>
  <c r="G52" i="60" s="1"/>
  <c r="G51" i="60" s="1"/>
  <c r="F29" i="26"/>
  <c r="F49" i="25"/>
  <c r="E6" i="1"/>
  <c r="F24" i="4"/>
  <c r="G35" i="60" s="1"/>
  <c r="F30" i="9"/>
  <c r="G36" i="8"/>
  <c r="G35" i="8"/>
  <c r="G34" i="8"/>
  <c r="G37" i="8"/>
  <c r="E55" i="17"/>
  <c r="F30" i="34"/>
  <c r="G140" i="60"/>
  <c r="E136" i="1"/>
  <c r="I27" i="3"/>
  <c r="E61" i="1"/>
  <c r="E17" i="2"/>
  <c r="D41" i="1"/>
  <c r="F18" i="60"/>
  <c r="E95" i="1"/>
  <c r="F95" i="1" s="1"/>
  <c r="G93" i="4"/>
  <c r="D61" i="1"/>
  <c r="D17" i="2"/>
  <c r="F29" i="29"/>
  <c r="H29" i="69" s="1"/>
  <c r="E40" i="36"/>
  <c r="E25" i="36"/>
  <c r="E37" i="17"/>
  <c r="E23" i="1"/>
  <c r="E9" i="1"/>
  <c r="G25" i="60" s="1"/>
  <c r="F40" i="36"/>
  <c r="F25" i="36"/>
  <c r="G54" i="17"/>
  <c r="F55" i="17"/>
  <c r="F37" i="17"/>
  <c r="L163" i="37"/>
  <c r="L155" i="37"/>
  <c r="L144" i="37"/>
  <c r="L131" i="37"/>
  <c r="L123" i="37"/>
  <c r="L106" i="37"/>
  <c r="L80" i="37"/>
  <c r="L68" i="37"/>
  <c r="L51" i="37"/>
  <c r="T112" i="37"/>
  <c r="E38" i="1"/>
  <c r="E40" i="17"/>
  <c r="K67" i="4" s="1"/>
  <c r="F63" i="17"/>
  <c r="L117" i="37"/>
  <c r="L99" i="37"/>
  <c r="L55" i="37"/>
  <c r="F50" i="5"/>
  <c r="E50" i="5"/>
  <c r="E24" i="4"/>
  <c r="U112" i="37"/>
  <c r="L28" i="37"/>
  <c r="L11" i="37"/>
  <c r="L5" i="37"/>
  <c r="L47" i="37"/>
  <c r="L39" i="37"/>
  <c r="E126" i="4"/>
  <c r="E128" i="4" s="1"/>
  <c r="E23" i="4"/>
  <c r="D20" i="1" s="1"/>
  <c r="F34" i="60" s="1"/>
  <c r="E41" i="8"/>
  <c r="E34" i="36"/>
  <c r="E48" i="17"/>
  <c r="E45" i="17" s="1"/>
  <c r="E17" i="36"/>
  <c r="E29" i="4"/>
  <c r="E28" i="4" s="1"/>
  <c r="E27" i="4" s="1"/>
  <c r="E19" i="17"/>
  <c r="E17" i="17" s="1"/>
  <c r="F34" i="36"/>
  <c r="F48" i="17"/>
  <c r="F45" i="17" s="1"/>
  <c r="F17" i="36"/>
  <c r="J17" i="17" s="1"/>
  <c r="F29" i="4"/>
  <c r="F19" i="17"/>
  <c r="F17" i="17" s="1"/>
  <c r="L132" i="37"/>
  <c r="L112" i="37"/>
  <c r="L94" i="37"/>
  <c r="L74" i="37"/>
  <c r="L56" i="37"/>
  <c r="L34" i="37"/>
  <c r="E47" i="32"/>
  <c r="D31" i="69" s="1"/>
  <c r="E45" i="29"/>
  <c r="D29" i="69" s="1"/>
  <c r="E29" i="29"/>
  <c r="G29" i="69" s="1"/>
  <c r="E45" i="28"/>
  <c r="D32" i="69" s="1"/>
  <c r="G25" i="8"/>
  <c r="E25" i="8"/>
  <c r="E17" i="8"/>
  <c r="G8" i="8"/>
  <c r="E8" i="8"/>
  <c r="P53" i="69" s="1"/>
  <c r="E18" i="4"/>
  <c r="D15" i="1" s="1"/>
  <c r="F37" i="4"/>
  <c r="E12" i="3" s="1"/>
  <c r="K166" i="37"/>
  <c r="L113" i="37"/>
  <c r="L95" i="37"/>
  <c r="L88" i="37"/>
  <c r="L75" i="37"/>
  <c r="L35" i="37"/>
  <c r="L12" i="37"/>
  <c r="F46" i="34"/>
  <c r="F47" i="32"/>
  <c r="E31" i="69" s="1"/>
  <c r="F45" i="31"/>
  <c r="E24" i="69" s="1"/>
  <c r="F46" i="30"/>
  <c r="E27" i="69" s="1"/>
  <c r="F45" i="29"/>
  <c r="E29" i="69" s="1"/>
  <c r="F45" i="28"/>
  <c r="E32" i="69" s="1"/>
  <c r="F45" i="27"/>
  <c r="E63" i="17"/>
  <c r="E46" i="10"/>
  <c r="F25" i="8"/>
  <c r="F17" i="8"/>
  <c r="E25" i="4"/>
  <c r="E21" i="4"/>
  <c r="D18" i="1" s="1"/>
  <c r="F32" i="60" s="1"/>
  <c r="F18" i="4"/>
  <c r="E15" i="1" s="1"/>
  <c r="F99" i="4"/>
  <c r="E36" i="5"/>
  <c r="D25" i="1"/>
  <c r="F94" i="4"/>
  <c r="E72" i="4"/>
  <c r="E31" i="4"/>
  <c r="D38" i="1" s="1"/>
  <c r="E94" i="4"/>
  <c r="D96" i="1" s="1"/>
  <c r="F72" i="4"/>
  <c r="F58" i="4"/>
  <c r="E7" i="1"/>
  <c r="G22" i="60" s="1"/>
  <c r="E90" i="1"/>
  <c r="F81" i="4"/>
  <c r="F25" i="4"/>
  <c r="F23" i="4"/>
  <c r="E20" i="1" s="1"/>
  <c r="G34" i="60" s="1"/>
  <c r="F8" i="8"/>
  <c r="Q53" i="69" s="1"/>
  <c r="E81" i="4"/>
  <c r="H6" i="2" s="1"/>
  <c r="F33" i="8"/>
  <c r="E33" i="8"/>
  <c r="F41" i="8"/>
  <c r="F31" i="32"/>
  <c r="E31" i="32"/>
  <c r="G31" i="69" s="1"/>
  <c r="AE31" i="69" s="1"/>
  <c r="E29" i="30"/>
  <c r="G27" i="69" s="1"/>
  <c r="AE27" i="69" s="1"/>
  <c r="E30" i="34"/>
  <c r="E46" i="34"/>
  <c r="F29" i="28"/>
  <c r="H32" i="69" s="1"/>
  <c r="AF32" i="69" s="1"/>
  <c r="E29" i="28"/>
  <c r="G32" i="69" s="1"/>
  <c r="AE32" i="69" s="1"/>
  <c r="F30" i="24"/>
  <c r="E88" i="1"/>
  <c r="E45" i="31"/>
  <c r="D24" i="69" s="1"/>
  <c r="E46" i="9"/>
  <c r="F46" i="10"/>
  <c r="E46" i="11"/>
  <c r="F46" i="11"/>
  <c r="E46" i="12"/>
  <c r="F46" i="12"/>
  <c r="F46" i="13"/>
  <c r="E46" i="13"/>
  <c r="E47" i="14"/>
  <c r="F47" i="14"/>
  <c r="F46" i="15"/>
  <c r="E47" i="69" s="1"/>
  <c r="H47" i="69" s="1"/>
  <c r="AF47" i="69" s="1"/>
  <c r="E46" i="15"/>
  <c r="D47" i="69" s="1"/>
  <c r="G47" i="69" s="1"/>
  <c r="AE47" i="69" s="1"/>
  <c r="E47" i="16"/>
  <c r="D52" i="69" s="1"/>
  <c r="G52" i="69" s="1"/>
  <c r="AE52" i="69" s="1"/>
  <c r="F47" i="16"/>
  <c r="E52" i="69" s="1"/>
  <c r="H52" i="69" s="1"/>
  <c r="AF52" i="69" s="1"/>
  <c r="E49" i="24"/>
  <c r="F49" i="24"/>
  <c r="E49" i="25"/>
  <c r="E45" i="27"/>
  <c r="E46" i="30"/>
  <c r="D27" i="69" s="1"/>
  <c r="F29" i="30"/>
  <c r="H27" i="69" s="1"/>
  <c r="AF27" i="69" s="1"/>
  <c r="J166" i="37"/>
  <c r="K136" i="37"/>
  <c r="J136" i="37"/>
  <c r="J60" i="37"/>
  <c r="K60" i="37"/>
  <c r="T91" i="37"/>
  <c r="E10" i="36" s="1"/>
  <c r="T95" i="37"/>
  <c r="U95" i="37"/>
  <c r="U94" i="37"/>
  <c r="U111" i="37"/>
  <c r="T94" i="37"/>
  <c r="T111" i="37"/>
  <c r="U91" i="37"/>
  <c r="H46" i="7"/>
  <c r="K27" i="4" l="1"/>
  <c r="E36" i="1"/>
  <c r="G10" i="60" s="1"/>
  <c r="E48" i="8"/>
  <c r="D53" i="69" s="1"/>
  <c r="G53" i="69" s="1"/>
  <c r="K55" i="69"/>
  <c r="D32" i="70" s="1"/>
  <c r="G8" i="60"/>
  <c r="D22" i="1"/>
  <c r="F36" i="60"/>
  <c r="E62" i="17"/>
  <c r="G49" i="24"/>
  <c r="AF22" i="69"/>
  <c r="AE22" i="69"/>
  <c r="J55" i="69"/>
  <c r="C32" i="70" s="1"/>
  <c r="E23" i="69"/>
  <c r="D23" i="69"/>
  <c r="AE29" i="69"/>
  <c r="AF29" i="69"/>
  <c r="H31" i="69"/>
  <c r="AF31" i="69" s="1"/>
  <c r="K30" i="32"/>
  <c r="F10" i="36"/>
  <c r="F8" i="36" s="1"/>
  <c r="F31" i="36" s="1"/>
  <c r="U102" i="37"/>
  <c r="F47" i="36"/>
  <c r="K47" i="36" s="1"/>
  <c r="W20" i="70"/>
  <c r="Z20" i="70" s="1"/>
  <c r="X20" i="70"/>
  <c r="F28" i="7"/>
  <c r="E67" i="4"/>
  <c r="E66" i="4" s="1"/>
  <c r="E76" i="4" s="1"/>
  <c r="G28" i="7"/>
  <c r="F67" i="4"/>
  <c r="F66" i="4" s="1"/>
  <c r="E21" i="1"/>
  <c r="G41" i="8"/>
  <c r="G33" i="8"/>
  <c r="E47" i="36"/>
  <c r="F62" i="17"/>
  <c r="K62" i="17" s="1"/>
  <c r="E83" i="1"/>
  <c r="G81" i="60" s="1"/>
  <c r="I6" i="2"/>
  <c r="F64" i="60"/>
  <c r="E22" i="1"/>
  <c r="G36" i="60"/>
  <c r="E96" i="1"/>
  <c r="F96" i="1" s="1"/>
  <c r="G94" i="4"/>
  <c r="G50" i="60"/>
  <c r="G42" i="60" s="1"/>
  <c r="G34" i="70"/>
  <c r="J34" i="70" s="1"/>
  <c r="D21" i="1"/>
  <c r="F35" i="60"/>
  <c r="G64" i="60"/>
  <c r="E30" i="8"/>
  <c r="G33" i="70"/>
  <c r="D36" i="1"/>
  <c r="F10" i="60" s="1"/>
  <c r="F8" i="60" s="1"/>
  <c r="L20" i="37"/>
  <c r="J165" i="37"/>
  <c r="F48" i="8"/>
  <c r="J48" i="8" s="1"/>
  <c r="F30" i="8"/>
  <c r="J30" i="8" s="1"/>
  <c r="F36" i="5"/>
  <c r="L27" i="4" s="1"/>
  <c r="E8" i="36"/>
  <c r="E10" i="17"/>
  <c r="L136" i="37"/>
  <c r="F46" i="4"/>
  <c r="E51" i="1"/>
  <c r="F70" i="4"/>
  <c r="E62" i="1"/>
  <c r="E46" i="4"/>
  <c r="D51" i="1"/>
  <c r="K165" i="37"/>
  <c r="L60" i="37"/>
  <c r="E25" i="1"/>
  <c r="E37" i="4"/>
  <c r="D12" i="3" s="1"/>
  <c r="E70" i="4"/>
  <c r="D62" i="1"/>
  <c r="E113" i="1"/>
  <c r="G86" i="60" s="1"/>
  <c r="L166" i="37"/>
  <c r="D83" i="1"/>
  <c r="F81" i="60" s="1"/>
  <c r="D113" i="1"/>
  <c r="F86" i="60" s="1"/>
  <c r="T102" i="37"/>
  <c r="F50" i="7"/>
  <c r="F49" i="7" s="1"/>
  <c r="G50" i="7"/>
  <c r="H121" i="7"/>
  <c r="H120" i="7"/>
  <c r="F107" i="7"/>
  <c r="F105" i="7" s="1"/>
  <c r="G107" i="7"/>
  <c r="F76" i="4" l="1"/>
  <c r="N79" i="4" s="1"/>
  <c r="F34" i="7"/>
  <c r="G48" i="8"/>
  <c r="E53" i="69"/>
  <c r="H53" i="69" s="1"/>
  <c r="AF53" i="69" s="1"/>
  <c r="D16" i="69"/>
  <c r="F10" i="17"/>
  <c r="F8" i="17" s="1"/>
  <c r="F42" i="17" s="1"/>
  <c r="E16" i="69"/>
  <c r="AA20" i="70"/>
  <c r="E31" i="36"/>
  <c r="P16" i="69"/>
  <c r="K31" i="36"/>
  <c r="Q16" i="69"/>
  <c r="G30" i="8"/>
  <c r="D35" i="1"/>
  <c r="F33" i="70"/>
  <c r="I33" i="70" s="1"/>
  <c r="D60" i="1"/>
  <c r="F37" i="70"/>
  <c r="I37" i="70" s="1"/>
  <c r="F50" i="60"/>
  <c r="F42" i="60" s="1"/>
  <c r="F34" i="70"/>
  <c r="I34" i="70" s="1"/>
  <c r="J33" i="70"/>
  <c r="E10" i="2"/>
  <c r="E60" i="1"/>
  <c r="G37" i="70"/>
  <c r="J37" i="70" s="1"/>
  <c r="D10" i="2"/>
  <c r="L165" i="37"/>
  <c r="E35" i="1"/>
  <c r="E34" i="1" s="1"/>
  <c r="E8" i="17"/>
  <c r="E42" i="17" s="1"/>
  <c r="G14" i="41"/>
  <c r="F14" i="41"/>
  <c r="J61" i="40"/>
  <c r="J72" i="40"/>
  <c r="I4" i="40"/>
  <c r="K42" i="17" l="1"/>
  <c r="J46" i="40"/>
  <c r="H16" i="69"/>
  <c r="AF16" i="69" s="1"/>
  <c r="G16" i="69"/>
  <c r="AE16" i="69" s="1"/>
  <c r="E81" i="5"/>
  <c r="E91" i="4" s="1"/>
  <c r="D34" i="1"/>
  <c r="L157" i="58"/>
  <c r="L153" i="58"/>
  <c r="L32" i="58"/>
  <c r="L161" i="58"/>
  <c r="L150" i="58"/>
  <c r="L147" i="58"/>
  <c r="L143" i="58"/>
  <c r="L31" i="58"/>
  <c r="L114" i="58"/>
  <c r="L145" i="58"/>
  <c r="L113" i="58"/>
  <c r="L111" i="58"/>
  <c r="L20" i="58"/>
  <c r="L11" i="58"/>
  <c r="L133" i="58"/>
  <c r="L30" i="58"/>
  <c r="L110" i="58"/>
  <c r="L62" i="58"/>
  <c r="L61" i="58"/>
  <c r="L77" i="58"/>
  <c r="L48" i="58"/>
  <c r="L44" i="58"/>
  <c r="L43" i="58"/>
  <c r="L22" i="58"/>
  <c r="L14" i="58"/>
  <c r="L9" i="58"/>
  <c r="L28" i="58"/>
  <c r="L109" i="58"/>
  <c r="L27" i="58"/>
  <c r="L26" i="58"/>
  <c r="L86" i="58"/>
  <c r="L108" i="58"/>
  <c r="L25" i="58"/>
  <c r="L107" i="58"/>
  <c r="L76" i="58"/>
  <c r="L79" i="58"/>
  <c r="L42" i="58"/>
  <c r="L7" i="58"/>
  <c r="L90" i="58"/>
  <c r="L8" i="57"/>
  <c r="L7" i="57"/>
  <c r="L6" i="57"/>
  <c r="L5" i="57"/>
  <c r="D93" i="1" l="1"/>
  <c r="L139" i="58"/>
  <c r="K3" i="58"/>
  <c r="D18" i="8"/>
  <c r="AD33" i="69"/>
  <c r="O16" i="71"/>
  <c r="K16" i="71"/>
  <c r="H16" i="71"/>
  <c r="E16" i="71"/>
  <c r="B16" i="71"/>
  <c r="L14" i="71"/>
  <c r="L13" i="71"/>
  <c r="L12" i="71"/>
  <c r="L11" i="71"/>
  <c r="L10" i="71"/>
  <c r="L9" i="71"/>
  <c r="L8" i="71"/>
  <c r="V23" i="70"/>
  <c r="Y23" i="70" s="1"/>
  <c r="V22" i="70"/>
  <c r="Y22" i="70" s="1"/>
  <c r="Y17" i="70"/>
  <c r="Y16" i="70"/>
  <c r="V15" i="70"/>
  <c r="Y15" i="70" s="1"/>
  <c r="V14" i="70"/>
  <c r="Y14" i="70" s="1"/>
  <c r="V13" i="70"/>
  <c r="Y13" i="70" s="1"/>
  <c r="V12" i="70"/>
  <c r="Y12" i="70" s="1"/>
  <c r="V11" i="70"/>
  <c r="Y11" i="70" s="1"/>
  <c r="V10" i="70"/>
  <c r="Y10" i="70" s="1"/>
  <c r="V9" i="70"/>
  <c r="V8" i="70"/>
  <c r="Y8" i="70" s="1"/>
  <c r="C89" i="69"/>
  <c r="F88" i="69" s="1"/>
  <c r="I88" i="69" s="1"/>
  <c r="AD54" i="69"/>
  <c r="AD52" i="69"/>
  <c r="AD51" i="69"/>
  <c r="AD50" i="69"/>
  <c r="AD49" i="69"/>
  <c r="AD48" i="69"/>
  <c r="AD47" i="69"/>
  <c r="AD46" i="69"/>
  <c r="AD45" i="69"/>
  <c r="AD44" i="69"/>
  <c r="AD43" i="69"/>
  <c r="AD42" i="69"/>
  <c r="AD41" i="69"/>
  <c r="AD40" i="69"/>
  <c r="AD39" i="69"/>
  <c r="AD38" i="69"/>
  <c r="AD37" i="69"/>
  <c r="AD36" i="69"/>
  <c r="AD35" i="69"/>
  <c r="AD34" i="69"/>
  <c r="AD26" i="69"/>
  <c r="AD25" i="69"/>
  <c r="AD21" i="69"/>
  <c r="AD20" i="69"/>
  <c r="AD19" i="69"/>
  <c r="AD17" i="69"/>
  <c r="AD16" i="69"/>
  <c r="AD15" i="69"/>
  <c r="AD14" i="69"/>
  <c r="AD13" i="69"/>
  <c r="AD12" i="69"/>
  <c r="AD11" i="69"/>
  <c r="AD10" i="69"/>
  <c r="AD9" i="69"/>
  <c r="AD7" i="69"/>
  <c r="AD6" i="69"/>
  <c r="I53" i="69" l="1"/>
  <c r="AD53" i="69" s="1"/>
  <c r="G149" i="7"/>
  <c r="H31" i="57"/>
  <c r="Y7" i="70"/>
  <c r="V25" i="70"/>
  <c r="F83" i="69"/>
  <c r="I83" i="69" s="1"/>
  <c r="F81" i="69"/>
  <c r="I81" i="69" s="1"/>
  <c r="F86" i="69"/>
  <c r="I86" i="69" s="1"/>
  <c r="F79" i="69"/>
  <c r="F82" i="69"/>
  <c r="I82" i="69" s="1"/>
  <c r="F85" i="69"/>
  <c r="I85" i="69" s="1"/>
  <c r="F87" i="69"/>
  <c r="I87" i="69" s="1"/>
  <c r="B30" i="70"/>
  <c r="AD18" i="69"/>
  <c r="B33" i="70"/>
  <c r="F80" i="69"/>
  <c r="I80" i="69" s="1"/>
  <c r="F84" i="69"/>
  <c r="I84" i="69" s="1"/>
  <c r="L16" i="71"/>
  <c r="AD8" i="69"/>
  <c r="I79" i="69"/>
  <c r="I89" i="69" l="1"/>
  <c r="F89" i="69"/>
  <c r="V29" i="70"/>
  <c r="V30" i="70" s="1"/>
  <c r="D29" i="5" l="1"/>
  <c r="C42" i="60"/>
  <c r="D42" i="60"/>
  <c r="C139" i="60" l="1"/>
  <c r="C130" i="60"/>
  <c r="D130" i="60"/>
  <c r="E130" i="60"/>
  <c r="C114" i="60"/>
  <c r="D139" i="60"/>
  <c r="C8" i="60"/>
  <c r="D8" i="60"/>
  <c r="C20" i="60"/>
  <c r="D20" i="60"/>
  <c r="D114" i="60"/>
  <c r="C51" i="60"/>
  <c r="C57" i="60" s="1"/>
  <c r="D51" i="60"/>
  <c r="D57" i="60" s="1"/>
  <c r="C28" i="60"/>
  <c r="D28" i="60"/>
  <c r="C66" i="60"/>
  <c r="D66" i="60"/>
  <c r="C88" i="60"/>
  <c r="D88" i="60"/>
  <c r="C75" i="60"/>
  <c r="D75" i="60"/>
  <c r="D77" i="60" s="1"/>
  <c r="D60" i="4"/>
  <c r="C27" i="1" s="1"/>
  <c r="I167" i="37"/>
  <c r="D49" i="36" s="1"/>
  <c r="D64" i="17" s="1"/>
  <c r="D23" i="17"/>
  <c r="D33" i="4" s="1"/>
  <c r="C40" i="1" s="1"/>
  <c r="E5" i="35"/>
  <c r="L180" i="58"/>
  <c r="K178" i="58"/>
  <c r="J178" i="58"/>
  <c r="L177" i="58"/>
  <c r="K175" i="58"/>
  <c r="J175" i="58"/>
  <c r="K173" i="58"/>
  <c r="J173" i="58"/>
  <c r="L152" i="58"/>
  <c r="I138" i="58"/>
  <c r="I131" i="58"/>
  <c r="I130" i="58"/>
  <c r="I129" i="58"/>
  <c r="I128" i="58"/>
  <c r="I127" i="58"/>
  <c r="I126" i="58"/>
  <c r="K124" i="58"/>
  <c r="H124" i="58"/>
  <c r="D42" i="8" s="1"/>
  <c r="E124" i="58"/>
  <c r="I85" i="58"/>
  <c r="I84" i="58"/>
  <c r="H83" i="58"/>
  <c r="I82" i="58"/>
  <c r="I81" i="58"/>
  <c r="I80" i="58"/>
  <c r="H76" i="58"/>
  <c r="E76" i="58"/>
  <c r="I60" i="58"/>
  <c r="I59" i="58"/>
  <c r="I58" i="58"/>
  <c r="I57" i="58"/>
  <c r="I55" i="58"/>
  <c r="I54" i="58"/>
  <c r="I53" i="58"/>
  <c r="I52" i="58"/>
  <c r="I51" i="58"/>
  <c r="I50" i="58"/>
  <c r="I49" i="58"/>
  <c r="H41" i="58"/>
  <c r="G3" i="58"/>
  <c r="I23" i="57"/>
  <c r="I22" i="57"/>
  <c r="I21" i="57"/>
  <c r="I20" i="57"/>
  <c r="I17" i="57"/>
  <c r="I15" i="57"/>
  <c r="I14" i="57"/>
  <c r="I13" i="57"/>
  <c r="I12" i="57"/>
  <c r="I11" i="57"/>
  <c r="I10" i="57"/>
  <c r="I9" i="57"/>
  <c r="I8" i="57"/>
  <c r="I7" i="57"/>
  <c r="I6" i="57"/>
  <c r="I5" i="57"/>
  <c r="E183" i="7"/>
  <c r="E17" i="6"/>
  <c r="E16" i="6" s="1"/>
  <c r="E15" i="6" s="1"/>
  <c r="I61" i="40"/>
  <c r="D51" i="5"/>
  <c r="D47" i="4" s="1"/>
  <c r="C52" i="1" s="1"/>
  <c r="E52" i="60" s="1"/>
  <c r="E51" i="60" s="1"/>
  <c r="E102" i="35"/>
  <c r="E72" i="33"/>
  <c r="E22" i="33"/>
  <c r="E171" i="7"/>
  <c r="E170" i="7" s="1"/>
  <c r="F7" i="41"/>
  <c r="F3" i="41" s="1"/>
  <c r="F9" i="6"/>
  <c r="F7" i="6" s="1"/>
  <c r="D24" i="23"/>
  <c r="E24" i="23"/>
  <c r="F24" i="23"/>
  <c r="D17" i="24"/>
  <c r="E141" i="35"/>
  <c r="G68" i="33"/>
  <c r="S101" i="37"/>
  <c r="H14" i="6"/>
  <c r="G139" i="35"/>
  <c r="G22" i="33"/>
  <c r="G23" i="20"/>
  <c r="G18" i="16"/>
  <c r="G18" i="9"/>
  <c r="G37" i="6"/>
  <c r="F11" i="5" s="1"/>
  <c r="F8" i="5" s="1"/>
  <c r="L8" i="4" s="1"/>
  <c r="H32" i="6"/>
  <c r="G232" i="7"/>
  <c r="H117" i="7"/>
  <c r="H103" i="7"/>
  <c r="H102" i="7"/>
  <c r="H101" i="7"/>
  <c r="H100" i="7"/>
  <c r="H99" i="7"/>
  <c r="H98" i="7"/>
  <c r="H104" i="7"/>
  <c r="H97" i="7"/>
  <c r="G14" i="7"/>
  <c r="G73" i="4"/>
  <c r="E231" i="7"/>
  <c r="E7" i="6"/>
  <c r="C27" i="3"/>
  <c r="D27" i="3"/>
  <c r="D76" i="4"/>
  <c r="I20" i="20"/>
  <c r="H20" i="20"/>
  <c r="J20" i="20" s="1"/>
  <c r="G20" i="20"/>
  <c r="G20" i="18"/>
  <c r="D96" i="4"/>
  <c r="C118" i="1"/>
  <c r="D151" i="1"/>
  <c r="C12" i="1"/>
  <c r="E27" i="60" s="1"/>
  <c r="G24" i="3"/>
  <c r="G26" i="2"/>
  <c r="I130" i="60" s="1"/>
  <c r="C28" i="1"/>
  <c r="C37" i="1"/>
  <c r="C39" i="1"/>
  <c r="E14" i="60" s="1"/>
  <c r="C41" i="1"/>
  <c r="C45" i="1"/>
  <c r="C46" i="1"/>
  <c r="C47" i="1"/>
  <c r="C53" i="1"/>
  <c r="C56" i="1"/>
  <c r="C61" i="1"/>
  <c r="C64" i="1"/>
  <c r="C148" i="1" s="1"/>
  <c r="C71" i="1"/>
  <c r="C149" i="1" s="1"/>
  <c r="C102" i="1"/>
  <c r="C103" i="1"/>
  <c r="C104" i="1"/>
  <c r="C105" i="1"/>
  <c r="E149" i="1"/>
  <c r="D10" i="4"/>
  <c r="C7" i="1" s="1"/>
  <c r="E22" i="60" s="1"/>
  <c r="D13" i="4"/>
  <c r="C10" i="1" s="1"/>
  <c r="D14" i="4"/>
  <c r="C11" i="1" s="1"/>
  <c r="D62" i="4"/>
  <c r="C29" i="1" s="1"/>
  <c r="D63" i="4"/>
  <c r="C30" i="1" s="1"/>
  <c r="D64" i="4"/>
  <c r="C31" i="1" s="1"/>
  <c r="D65" i="4"/>
  <c r="C32" i="1" s="1"/>
  <c r="D73" i="4"/>
  <c r="D88" i="4"/>
  <c r="C90" i="1" s="1"/>
  <c r="D89" i="4"/>
  <c r="C91" i="1" s="1"/>
  <c r="D90" i="4"/>
  <c r="C92" i="1" s="1"/>
  <c r="D92" i="4"/>
  <c r="C94" i="1" s="1"/>
  <c r="D93" i="4"/>
  <c r="C95" i="1" s="1"/>
  <c r="D95" i="4"/>
  <c r="C97" i="1" s="1"/>
  <c r="G114" i="4"/>
  <c r="G115" i="4"/>
  <c r="D9" i="5"/>
  <c r="D9" i="4" s="1"/>
  <c r="D12" i="5"/>
  <c r="D12" i="4" s="1"/>
  <c r="C9" i="1" s="1"/>
  <c r="E25" i="60" s="1"/>
  <c r="D22" i="5"/>
  <c r="D23" i="5"/>
  <c r="D27" i="5"/>
  <c r="D58" i="4" s="1"/>
  <c r="C25" i="1" s="1"/>
  <c r="D40" i="5"/>
  <c r="D37" i="5" s="1"/>
  <c r="D44" i="5"/>
  <c r="D60" i="5"/>
  <c r="D54" i="4" s="1"/>
  <c r="D64" i="5"/>
  <c r="D62" i="5" s="1"/>
  <c r="D65" i="5"/>
  <c r="D73" i="5"/>
  <c r="D84" i="5"/>
  <c r="D102" i="5"/>
  <c r="D99" i="4" s="1"/>
  <c r="C113" i="1" s="1"/>
  <c r="E86" i="60" s="1"/>
  <c r="D113" i="5"/>
  <c r="E5" i="6"/>
  <c r="F5" i="6"/>
  <c r="G5" i="6"/>
  <c r="H10" i="6"/>
  <c r="H12" i="6"/>
  <c r="F16" i="6"/>
  <c r="H18" i="6"/>
  <c r="H19" i="6"/>
  <c r="H24" i="6"/>
  <c r="E30" i="6"/>
  <c r="F30" i="6"/>
  <c r="G30" i="6"/>
  <c r="G29" i="6" s="1"/>
  <c r="H31" i="6"/>
  <c r="H35" i="6"/>
  <c r="H36" i="6"/>
  <c r="E37" i="6"/>
  <c r="F37" i="6"/>
  <c r="E11" i="5" s="1"/>
  <c r="E8" i="5" s="1"/>
  <c r="K8" i="4" s="1"/>
  <c r="H38" i="6"/>
  <c r="H39" i="6"/>
  <c r="H40" i="6"/>
  <c r="H41" i="6"/>
  <c r="E45" i="6"/>
  <c r="H48" i="6"/>
  <c r="E49" i="6"/>
  <c r="D28" i="5" s="1"/>
  <c r="D59" i="4" s="1"/>
  <c r="F49" i="6"/>
  <c r="E28" i="5" s="1"/>
  <c r="G49" i="6"/>
  <c r="F28" i="5" s="1"/>
  <c r="H50" i="6"/>
  <c r="H51" i="6"/>
  <c r="H52" i="6"/>
  <c r="H53" i="6"/>
  <c r="H54" i="6"/>
  <c r="H55" i="6"/>
  <c r="H56" i="6"/>
  <c r="H57" i="6"/>
  <c r="H59" i="6"/>
  <c r="H60" i="6"/>
  <c r="H61" i="6"/>
  <c r="H62" i="6"/>
  <c r="H63" i="6"/>
  <c r="H64" i="6"/>
  <c r="H65" i="6"/>
  <c r="H66" i="6"/>
  <c r="H67" i="6"/>
  <c r="H68" i="6"/>
  <c r="H69" i="6"/>
  <c r="E72" i="6"/>
  <c r="E71" i="6" s="1"/>
  <c r="H77" i="6"/>
  <c r="H78" i="6"/>
  <c r="H80" i="6"/>
  <c r="H81" i="6"/>
  <c r="H82" i="6"/>
  <c r="E83" i="6"/>
  <c r="H88" i="6"/>
  <c r="E90" i="6"/>
  <c r="F90" i="6"/>
  <c r="G90" i="6"/>
  <c r="H90" i="6" s="1"/>
  <c r="E92" i="6"/>
  <c r="E95" i="6"/>
  <c r="F95" i="6"/>
  <c r="G95" i="6"/>
  <c r="G97" i="6" s="1"/>
  <c r="E102" i="6"/>
  <c r="E120" i="6"/>
  <c r="D53" i="5" s="1"/>
  <c r="D49" i="4" s="1"/>
  <c r="F120" i="6"/>
  <c r="F101" i="6" s="1"/>
  <c r="G120" i="6"/>
  <c r="G101" i="6" s="1"/>
  <c r="E122" i="6"/>
  <c r="E126" i="6"/>
  <c r="H127" i="6"/>
  <c r="H129" i="6"/>
  <c r="E131" i="6"/>
  <c r="F131" i="6"/>
  <c r="G131" i="6"/>
  <c r="H132" i="6"/>
  <c r="H133" i="6"/>
  <c r="H134" i="6"/>
  <c r="H136" i="6"/>
  <c r="E138" i="6"/>
  <c r="F138" i="6"/>
  <c r="G138" i="6"/>
  <c r="H138" i="6" s="1"/>
  <c r="E140" i="6"/>
  <c r="E143" i="6" s="1"/>
  <c r="F140" i="6"/>
  <c r="G140" i="6"/>
  <c r="E4" i="7"/>
  <c r="F4" i="7"/>
  <c r="G4" i="7"/>
  <c r="E11" i="7"/>
  <c r="E7" i="7" s="1"/>
  <c r="D74" i="5" s="1"/>
  <c r="F11" i="7"/>
  <c r="F7" i="7" s="1"/>
  <c r="E74" i="5" s="1"/>
  <c r="E82" i="4" s="1"/>
  <c r="H7" i="2" s="1"/>
  <c r="G11" i="7"/>
  <c r="G7" i="7" s="1"/>
  <c r="F74" i="5" s="1"/>
  <c r="F82" i="4" s="1"/>
  <c r="I7" i="2" s="1"/>
  <c r="E14" i="7"/>
  <c r="F14" i="7"/>
  <c r="H15" i="7"/>
  <c r="H17" i="7"/>
  <c r="E19" i="7"/>
  <c r="D75" i="5" s="1"/>
  <c r="J78" i="5" s="1"/>
  <c r="F19" i="7"/>
  <c r="E75" i="5" s="1"/>
  <c r="G19" i="7"/>
  <c r="F75" i="5" s="1"/>
  <c r="H22" i="7"/>
  <c r="E30" i="7"/>
  <c r="E31" i="7"/>
  <c r="H35" i="7"/>
  <c r="H36" i="7"/>
  <c r="H37" i="7"/>
  <c r="H38" i="7"/>
  <c r="H39" i="7"/>
  <c r="H40" i="7"/>
  <c r="H41" i="7"/>
  <c r="H42" i="7"/>
  <c r="H43" i="7"/>
  <c r="H44" i="7"/>
  <c r="E45" i="7"/>
  <c r="E35" i="7" s="1"/>
  <c r="H45" i="7"/>
  <c r="E50" i="7"/>
  <c r="E49" i="7" s="1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85" i="7"/>
  <c r="H86" i="7"/>
  <c r="H87" i="7"/>
  <c r="H88" i="7"/>
  <c r="H89" i="7"/>
  <c r="H90" i="7"/>
  <c r="H91" i="7"/>
  <c r="H92" i="7"/>
  <c r="H93" i="7"/>
  <c r="H94" i="7"/>
  <c r="H95" i="7"/>
  <c r="H96" i="7"/>
  <c r="E107" i="7"/>
  <c r="E105" i="7" s="1"/>
  <c r="H108" i="7"/>
  <c r="H109" i="7"/>
  <c r="H110" i="7"/>
  <c r="H111" i="7"/>
  <c r="H112" i="7"/>
  <c r="H113" i="7"/>
  <c r="H115" i="7"/>
  <c r="H116" i="7"/>
  <c r="H118" i="7"/>
  <c r="H119" i="7"/>
  <c r="H124" i="7"/>
  <c r="E125" i="7"/>
  <c r="D76" i="5" s="1"/>
  <c r="F125" i="7"/>
  <c r="G125" i="7"/>
  <c r="H126" i="7"/>
  <c r="H127" i="7"/>
  <c r="H128" i="7"/>
  <c r="H129" i="7"/>
  <c r="G133" i="7"/>
  <c r="E144" i="7"/>
  <c r="F144" i="7"/>
  <c r="E108" i="5" s="1"/>
  <c r="E120" i="4" s="1"/>
  <c r="G144" i="7"/>
  <c r="F108" i="5" s="1"/>
  <c r="F120" i="4" s="1"/>
  <c r="E150" i="7"/>
  <c r="F150" i="7"/>
  <c r="G150" i="7"/>
  <c r="E153" i="7"/>
  <c r="D97" i="5" s="1"/>
  <c r="D96" i="5" s="1"/>
  <c r="D113" i="4" s="1"/>
  <c r="F153" i="7"/>
  <c r="E97" i="5" s="1"/>
  <c r="G153" i="7"/>
  <c r="F97" i="5" s="1"/>
  <c r="H154" i="7"/>
  <c r="H155" i="7"/>
  <c r="F158" i="7"/>
  <c r="E95" i="5" s="1"/>
  <c r="G158" i="7"/>
  <c r="H159" i="7"/>
  <c r="H160" i="7"/>
  <c r="H161" i="7"/>
  <c r="H162" i="7"/>
  <c r="H163" i="7"/>
  <c r="G167" i="7"/>
  <c r="D18" i="70" s="1"/>
  <c r="G18" i="70" s="1"/>
  <c r="F170" i="7"/>
  <c r="E109" i="5" s="1"/>
  <c r="G170" i="7"/>
  <c r="F109" i="5" s="1"/>
  <c r="H173" i="7"/>
  <c r="E180" i="7"/>
  <c r="F180" i="7"/>
  <c r="G180" i="7"/>
  <c r="H181" i="7"/>
  <c r="H182" i="7"/>
  <c r="H183" i="7"/>
  <c r="E190" i="7"/>
  <c r="F190" i="7"/>
  <c r="G190" i="7"/>
  <c r="H191" i="7"/>
  <c r="H192" i="7"/>
  <c r="H193" i="7"/>
  <c r="H194" i="7"/>
  <c r="H195" i="7"/>
  <c r="H196" i="7"/>
  <c r="E197" i="7"/>
  <c r="F197" i="7"/>
  <c r="D42" i="69" s="1"/>
  <c r="G42" i="69" s="1"/>
  <c r="AE42" i="69" s="1"/>
  <c r="G197" i="7"/>
  <c r="E42" i="69" s="1"/>
  <c r="H42" i="69" s="1"/>
  <c r="AF42" i="69" s="1"/>
  <c r="H198" i="7"/>
  <c r="H199" i="7"/>
  <c r="H200" i="7"/>
  <c r="E202" i="7"/>
  <c r="F202" i="7"/>
  <c r="D45" i="69" s="1"/>
  <c r="G202" i="7"/>
  <c r="E45" i="69" s="1"/>
  <c r="H203" i="7"/>
  <c r="H204" i="7"/>
  <c r="H205" i="7"/>
  <c r="E207" i="7"/>
  <c r="F207" i="7"/>
  <c r="G207" i="7"/>
  <c r="H208" i="7"/>
  <c r="E209" i="7"/>
  <c r="F209" i="7"/>
  <c r="G209" i="7"/>
  <c r="H210" i="7"/>
  <c r="E211" i="7"/>
  <c r="F211" i="7"/>
  <c r="G211" i="7"/>
  <c r="H212" i="7"/>
  <c r="H213" i="7"/>
  <c r="H214" i="7"/>
  <c r="H215" i="7"/>
  <c r="H216" i="7"/>
  <c r="H217" i="7"/>
  <c r="H218" i="7"/>
  <c r="H219" i="7"/>
  <c r="E220" i="7"/>
  <c r="F220" i="7"/>
  <c r="G220" i="7"/>
  <c r="H221" i="7"/>
  <c r="E222" i="7"/>
  <c r="F222" i="7"/>
  <c r="G222" i="7"/>
  <c r="H223" i="7"/>
  <c r="H224" i="7"/>
  <c r="H225" i="7"/>
  <c r="E226" i="7"/>
  <c r="F226" i="7"/>
  <c r="G226" i="7"/>
  <c r="H228" i="7"/>
  <c r="E230" i="7"/>
  <c r="F230" i="7"/>
  <c r="G230" i="7"/>
  <c r="F231" i="7"/>
  <c r="G231" i="7"/>
  <c r="E232" i="7"/>
  <c r="F232" i="7"/>
  <c r="H232" i="7" s="1"/>
  <c r="E234" i="7"/>
  <c r="F234" i="7"/>
  <c r="G234" i="7"/>
  <c r="E235" i="7"/>
  <c r="F235" i="7"/>
  <c r="G235" i="7"/>
  <c r="D9" i="8"/>
  <c r="D10" i="8"/>
  <c r="D11" i="8"/>
  <c r="D12" i="8"/>
  <c r="D13" i="8"/>
  <c r="D16" i="4" s="1"/>
  <c r="D14" i="8"/>
  <c r="D15" i="8"/>
  <c r="D16" i="8"/>
  <c r="G31" i="7"/>
  <c r="D19" i="8"/>
  <c r="E23" i="7" s="1"/>
  <c r="D20" i="8"/>
  <c r="D21" i="8"/>
  <c r="D22" i="8"/>
  <c r="D23" i="8"/>
  <c r="D26" i="4" s="1"/>
  <c r="D24" i="8"/>
  <c r="D26" i="8"/>
  <c r="D27" i="8"/>
  <c r="D34" i="8"/>
  <c r="D35" i="8"/>
  <c r="D36" i="8"/>
  <c r="D37" i="8"/>
  <c r="D85" i="4" s="1"/>
  <c r="D38" i="8"/>
  <c r="D44" i="8"/>
  <c r="D45" i="8"/>
  <c r="D46" i="8"/>
  <c r="D50" i="8"/>
  <c r="D51" i="8"/>
  <c r="D127" i="4" s="1"/>
  <c r="D8" i="9"/>
  <c r="D17" i="9"/>
  <c r="D25" i="9"/>
  <c r="G28" i="9"/>
  <c r="D33" i="9"/>
  <c r="G34" i="9"/>
  <c r="G35" i="9"/>
  <c r="G38" i="9"/>
  <c r="D39" i="9"/>
  <c r="G40" i="9"/>
  <c r="D8" i="10"/>
  <c r="D17" i="10"/>
  <c r="G18" i="10"/>
  <c r="D25" i="10"/>
  <c r="G28" i="10"/>
  <c r="D33" i="10"/>
  <c r="G46" i="10"/>
  <c r="G34" i="10"/>
  <c r="G35" i="10"/>
  <c r="G36" i="10"/>
  <c r="G37" i="10"/>
  <c r="G38" i="10"/>
  <c r="D39" i="10"/>
  <c r="D8" i="11"/>
  <c r="D17" i="11"/>
  <c r="D25" i="11"/>
  <c r="G28" i="11"/>
  <c r="D33" i="11"/>
  <c r="G34" i="11"/>
  <c r="G35" i="11"/>
  <c r="G36" i="11"/>
  <c r="D39" i="11"/>
  <c r="D46" i="11" s="1"/>
  <c r="D8" i="12"/>
  <c r="D17" i="12"/>
  <c r="G18" i="12"/>
  <c r="D25" i="12"/>
  <c r="G28" i="12"/>
  <c r="D33" i="12"/>
  <c r="G34" i="12"/>
  <c r="G35" i="12"/>
  <c r="G36" i="12"/>
  <c r="D39" i="12"/>
  <c r="D46" i="12" s="1"/>
  <c r="D8" i="13"/>
  <c r="D17" i="13"/>
  <c r="G17" i="13"/>
  <c r="G18" i="13"/>
  <c r="D25" i="13"/>
  <c r="G28" i="13"/>
  <c r="D33" i="13"/>
  <c r="G34" i="13"/>
  <c r="G35" i="13"/>
  <c r="G36" i="13"/>
  <c r="D39" i="13"/>
  <c r="D8" i="14"/>
  <c r="D17" i="14"/>
  <c r="G18" i="14"/>
  <c r="D25" i="14"/>
  <c r="G28" i="14"/>
  <c r="D34" i="14"/>
  <c r="G35" i="14"/>
  <c r="G36" i="14"/>
  <c r="G37" i="14"/>
  <c r="D40" i="14"/>
  <c r="D47" i="14" s="1"/>
  <c r="D8" i="15"/>
  <c r="D17" i="15"/>
  <c r="G18" i="15"/>
  <c r="D25" i="15"/>
  <c r="G28" i="15"/>
  <c r="D33" i="15"/>
  <c r="G34" i="15"/>
  <c r="G35" i="15"/>
  <c r="G36" i="15"/>
  <c r="D39" i="15"/>
  <c r="D8" i="16"/>
  <c r="D17" i="16"/>
  <c r="G23" i="16"/>
  <c r="D25" i="16"/>
  <c r="G28" i="16"/>
  <c r="D34" i="16"/>
  <c r="G35" i="16"/>
  <c r="G36" i="16"/>
  <c r="G37" i="16"/>
  <c r="D40" i="16"/>
  <c r="D9" i="17"/>
  <c r="D11" i="17"/>
  <c r="D12" i="17"/>
  <c r="D13" i="17"/>
  <c r="D14" i="17"/>
  <c r="D15" i="17"/>
  <c r="D16" i="17"/>
  <c r="D31" i="17"/>
  <c r="D30" i="17" s="1"/>
  <c r="D37" i="17"/>
  <c r="D47" i="17"/>
  <c r="D49" i="17"/>
  <c r="D51" i="17"/>
  <c r="D53" i="17"/>
  <c r="D55" i="17"/>
  <c r="D8" i="18"/>
  <c r="E8" i="18"/>
  <c r="F8" i="18"/>
  <c r="G11" i="18"/>
  <c r="G16" i="18"/>
  <c r="G18" i="18"/>
  <c r="D26" i="18"/>
  <c r="E26" i="18"/>
  <c r="F26" i="18"/>
  <c r="G29" i="18"/>
  <c r="D34" i="18"/>
  <c r="E34" i="18"/>
  <c r="F34" i="18"/>
  <c r="G35" i="18"/>
  <c r="G36" i="18"/>
  <c r="G37" i="18"/>
  <c r="G38" i="18"/>
  <c r="G39" i="18"/>
  <c r="G40" i="18"/>
  <c r="D43" i="18"/>
  <c r="E43" i="18"/>
  <c r="F43" i="18"/>
  <c r="D51" i="18"/>
  <c r="E51" i="18"/>
  <c r="F51" i="18"/>
  <c r="D8" i="27"/>
  <c r="D17" i="27"/>
  <c r="G18" i="27"/>
  <c r="D24" i="27"/>
  <c r="G27" i="27"/>
  <c r="D32" i="27"/>
  <c r="G45" i="27"/>
  <c r="G33" i="27"/>
  <c r="G34" i="27"/>
  <c r="G35" i="27"/>
  <c r="D38" i="27"/>
  <c r="G39" i="27"/>
  <c r="D8" i="28"/>
  <c r="O32" i="69" s="1"/>
  <c r="AD32" i="69" s="1"/>
  <c r="G10" i="28"/>
  <c r="G14" i="28"/>
  <c r="D17" i="28"/>
  <c r="G18" i="28"/>
  <c r="D24" i="28"/>
  <c r="G25" i="28"/>
  <c r="G27" i="28"/>
  <c r="D32" i="28"/>
  <c r="G33" i="28"/>
  <c r="G34" i="28"/>
  <c r="G35" i="28"/>
  <c r="D38" i="28"/>
  <c r="G38" i="28"/>
  <c r="G39" i="28"/>
  <c r="D8" i="29"/>
  <c r="O29" i="69" s="1"/>
  <c r="G14" i="29"/>
  <c r="D17" i="29"/>
  <c r="G18" i="29"/>
  <c r="D24" i="29"/>
  <c r="G27" i="29"/>
  <c r="D29" i="29"/>
  <c r="D32" i="29"/>
  <c r="G33" i="29"/>
  <c r="G34" i="29"/>
  <c r="G35" i="29"/>
  <c r="D38" i="29"/>
  <c r="D8" i="30"/>
  <c r="O27" i="69" s="1"/>
  <c r="AD27" i="69" s="1"/>
  <c r="G10" i="30"/>
  <c r="G11" i="30"/>
  <c r="G14" i="30"/>
  <c r="D17" i="30"/>
  <c r="G18" i="30"/>
  <c r="D24" i="30"/>
  <c r="G27" i="30"/>
  <c r="D32" i="30"/>
  <c r="G33" i="30"/>
  <c r="G34" i="30"/>
  <c r="G35" i="30"/>
  <c r="D39" i="30"/>
  <c r="D8" i="31"/>
  <c r="O24" i="69" s="1"/>
  <c r="E8" i="31"/>
  <c r="F8" i="31"/>
  <c r="J8" i="17" s="1"/>
  <c r="G10" i="31"/>
  <c r="G11" i="31"/>
  <c r="D17" i="31"/>
  <c r="I24" i="69" s="1"/>
  <c r="G18" i="31"/>
  <c r="D24" i="31"/>
  <c r="G27" i="31"/>
  <c r="D32" i="31"/>
  <c r="G33" i="31"/>
  <c r="G34" i="31"/>
  <c r="G35" i="31"/>
  <c r="D38" i="31"/>
  <c r="D8" i="32"/>
  <c r="D26" i="32"/>
  <c r="D34" i="32"/>
  <c r="D40" i="32"/>
  <c r="E9" i="33"/>
  <c r="G9" i="33"/>
  <c r="E14" i="33"/>
  <c r="E19" i="33"/>
  <c r="G19" i="33"/>
  <c r="E28" i="33"/>
  <c r="G28" i="33"/>
  <c r="E33" i="33"/>
  <c r="G33" i="33"/>
  <c r="E38" i="33"/>
  <c r="G38" i="33"/>
  <c r="E43" i="33"/>
  <c r="G43" i="33"/>
  <c r="E58" i="33"/>
  <c r="G58" i="33"/>
  <c r="E63" i="33"/>
  <c r="G63" i="33"/>
  <c r="G57" i="33" s="1"/>
  <c r="E68" i="33"/>
  <c r="G72" i="33"/>
  <c r="E78" i="33"/>
  <c r="G78" i="33"/>
  <c r="E83" i="33"/>
  <c r="G83" i="33"/>
  <c r="E88" i="33"/>
  <c r="G88" i="33"/>
  <c r="D8" i="34"/>
  <c r="O30" i="69" s="1"/>
  <c r="D25" i="34"/>
  <c r="G28" i="34"/>
  <c r="D33" i="34"/>
  <c r="D39" i="34"/>
  <c r="H5" i="35"/>
  <c r="H17" i="35"/>
  <c r="H18" i="35"/>
  <c r="H19" i="35"/>
  <c r="E22" i="35"/>
  <c r="G22" i="35"/>
  <c r="H23" i="35"/>
  <c r="H24" i="35"/>
  <c r="H25" i="35"/>
  <c r="E27" i="35"/>
  <c r="G27" i="35"/>
  <c r="H28" i="35"/>
  <c r="E31" i="35"/>
  <c r="G31" i="35"/>
  <c r="H32" i="35"/>
  <c r="H33" i="35"/>
  <c r="H34" i="35"/>
  <c r="H35" i="35"/>
  <c r="E38" i="35"/>
  <c r="G38" i="35"/>
  <c r="H39" i="35"/>
  <c r="H40" i="35"/>
  <c r="E41" i="35"/>
  <c r="H41" i="35"/>
  <c r="H42" i="35"/>
  <c r="H43" i="35"/>
  <c r="E44" i="35"/>
  <c r="G44" i="35"/>
  <c r="H45" i="35"/>
  <c r="H46" i="35"/>
  <c r="H52" i="35"/>
  <c r="H53" i="35"/>
  <c r="H54" i="35"/>
  <c r="H55" i="35"/>
  <c r="H56" i="35"/>
  <c r="H57" i="35"/>
  <c r="H58" i="35"/>
  <c r="H59" i="35"/>
  <c r="H60" i="35"/>
  <c r="H61" i="35"/>
  <c r="H62" i="35"/>
  <c r="H63" i="35"/>
  <c r="H64" i="35"/>
  <c r="H65" i="35"/>
  <c r="H66" i="35"/>
  <c r="H67" i="35"/>
  <c r="H68" i="35"/>
  <c r="H69" i="35"/>
  <c r="H70" i="35"/>
  <c r="H71" i="35"/>
  <c r="H72" i="35"/>
  <c r="H73" i="35"/>
  <c r="H74" i="35"/>
  <c r="H75" i="35"/>
  <c r="H76" i="35"/>
  <c r="H77" i="35"/>
  <c r="H78" i="35"/>
  <c r="H79" i="35"/>
  <c r="H80" i="35"/>
  <c r="H81" i="35"/>
  <c r="H82" i="35"/>
  <c r="H83" i="35"/>
  <c r="H84" i="35"/>
  <c r="H85" i="35"/>
  <c r="H86" i="35"/>
  <c r="H87" i="35"/>
  <c r="H88" i="35"/>
  <c r="H89" i="35"/>
  <c r="H90" i="35"/>
  <c r="G102" i="35"/>
  <c r="H103" i="35"/>
  <c r="E108" i="35"/>
  <c r="H109" i="35"/>
  <c r="E111" i="35"/>
  <c r="H112" i="35"/>
  <c r="H113" i="35"/>
  <c r="H114" i="35"/>
  <c r="E117" i="35"/>
  <c r="H118" i="35"/>
  <c r="E119" i="35"/>
  <c r="H120" i="35"/>
  <c r="E121" i="35"/>
  <c r="H122" i="35"/>
  <c r="G121" i="35"/>
  <c r="E124" i="35"/>
  <c r="H133" i="35"/>
  <c r="E137" i="35"/>
  <c r="H138" i="35"/>
  <c r="H140" i="35"/>
  <c r="G141" i="35"/>
  <c r="H142" i="35"/>
  <c r="E143" i="35"/>
  <c r="G143" i="35"/>
  <c r="H144" i="35"/>
  <c r="E148" i="35"/>
  <c r="H149" i="35"/>
  <c r="E151" i="35"/>
  <c r="G151" i="35"/>
  <c r="H152" i="35"/>
  <c r="E154" i="35"/>
  <c r="H155" i="35"/>
  <c r="H156" i="35"/>
  <c r="E157" i="35"/>
  <c r="G157" i="35"/>
  <c r="H157" i="35" s="1"/>
  <c r="H158" i="35"/>
  <c r="H167" i="35"/>
  <c r="E170" i="35"/>
  <c r="E169" i="35" s="1"/>
  <c r="E173" i="35" s="1"/>
  <c r="G170" i="35"/>
  <c r="H171" i="35"/>
  <c r="H172" i="35"/>
  <c r="H175" i="35"/>
  <c r="H176" i="35"/>
  <c r="H177" i="35"/>
  <c r="E181" i="35"/>
  <c r="K172" i="35" s="1"/>
  <c r="G181" i="35"/>
  <c r="D25" i="36"/>
  <c r="D40" i="36"/>
  <c r="E5" i="37"/>
  <c r="F5" i="37"/>
  <c r="G5" i="37"/>
  <c r="H5" i="37"/>
  <c r="I5" i="37"/>
  <c r="E12" i="37"/>
  <c r="E11" i="37" s="1"/>
  <c r="F12" i="37"/>
  <c r="F11" i="37" s="1"/>
  <c r="G12" i="37"/>
  <c r="G11" i="37" s="1"/>
  <c r="H12" i="37"/>
  <c r="H11" i="37" s="1"/>
  <c r="I12" i="37"/>
  <c r="O24" i="37"/>
  <c r="E28" i="37"/>
  <c r="F28" i="37"/>
  <c r="G28" i="37"/>
  <c r="H28" i="37"/>
  <c r="I28" i="37"/>
  <c r="E35" i="37"/>
  <c r="E34" i="37" s="1"/>
  <c r="E39" i="37" s="1"/>
  <c r="F35" i="37"/>
  <c r="F34" i="37" s="1"/>
  <c r="F39" i="37" s="1"/>
  <c r="G35" i="37"/>
  <c r="G34" i="37" s="1"/>
  <c r="G39" i="37" s="1"/>
  <c r="H35" i="37"/>
  <c r="I35" i="37"/>
  <c r="I34" i="37" s="1"/>
  <c r="I39" i="37" s="1"/>
  <c r="E47" i="37"/>
  <c r="F47" i="37"/>
  <c r="G47" i="37"/>
  <c r="H47" i="37"/>
  <c r="I47" i="37"/>
  <c r="E51" i="37"/>
  <c r="F51" i="37"/>
  <c r="G51" i="37"/>
  <c r="H51" i="37"/>
  <c r="O91" i="37" s="1"/>
  <c r="I51" i="37"/>
  <c r="I60" i="37" s="1"/>
  <c r="F55" i="37"/>
  <c r="F60" i="37" s="1"/>
  <c r="E56" i="37"/>
  <c r="E55" i="37" s="1"/>
  <c r="E60" i="37" s="1"/>
  <c r="G56" i="37"/>
  <c r="G55" i="37" s="1"/>
  <c r="H56" i="37"/>
  <c r="H55" i="37" s="1"/>
  <c r="I56" i="37"/>
  <c r="I55" i="37" s="1"/>
  <c r="E68" i="37"/>
  <c r="F68" i="37"/>
  <c r="G68" i="37"/>
  <c r="H68" i="37"/>
  <c r="I68" i="37"/>
  <c r="E75" i="37"/>
  <c r="E74" i="37" s="1"/>
  <c r="E80" i="37" s="1"/>
  <c r="F75" i="37"/>
  <c r="F74" i="37" s="1"/>
  <c r="F80" i="37" s="1"/>
  <c r="G75" i="37"/>
  <c r="G74" i="37" s="1"/>
  <c r="G80" i="37" s="1"/>
  <c r="H75" i="37"/>
  <c r="H74" i="37" s="1"/>
  <c r="H80" i="37" s="1"/>
  <c r="I75" i="37"/>
  <c r="I74" i="37" s="1"/>
  <c r="I80" i="37" s="1"/>
  <c r="E88" i="37"/>
  <c r="F88" i="37"/>
  <c r="G88" i="37"/>
  <c r="G166" i="37" s="1"/>
  <c r="H88" i="37"/>
  <c r="I88" i="37"/>
  <c r="N91" i="37"/>
  <c r="N102" i="37" s="1"/>
  <c r="P91" i="37"/>
  <c r="Q91" i="37"/>
  <c r="R91" i="37"/>
  <c r="O92" i="37"/>
  <c r="P92" i="37"/>
  <c r="Q92" i="37"/>
  <c r="R92" i="37"/>
  <c r="S92" i="37"/>
  <c r="O93" i="37"/>
  <c r="P93" i="37"/>
  <c r="Q93" i="37"/>
  <c r="R93" i="37"/>
  <c r="S93" i="37"/>
  <c r="N94" i="37"/>
  <c r="P94" i="37"/>
  <c r="Q94" i="37"/>
  <c r="R94" i="37"/>
  <c r="E95" i="37"/>
  <c r="E94" i="37" s="1"/>
  <c r="E99" i="37" s="1"/>
  <c r="F95" i="37"/>
  <c r="F94" i="37" s="1"/>
  <c r="F99" i="37" s="1"/>
  <c r="G95" i="37"/>
  <c r="G94" i="37" s="1"/>
  <c r="G99" i="37" s="1"/>
  <c r="H95" i="37"/>
  <c r="H94" i="37" s="1"/>
  <c r="H99" i="37" s="1"/>
  <c r="I95" i="37"/>
  <c r="I94" i="37" s="1"/>
  <c r="I99" i="37" s="1"/>
  <c r="N95" i="37"/>
  <c r="P95" i="37"/>
  <c r="Q95" i="37"/>
  <c r="R95" i="37"/>
  <c r="N96" i="37"/>
  <c r="O96" i="37"/>
  <c r="P96" i="37"/>
  <c r="Q96" i="37"/>
  <c r="R96" i="37"/>
  <c r="S96" i="37"/>
  <c r="D18" i="36" s="1"/>
  <c r="N97" i="37"/>
  <c r="O97" i="37"/>
  <c r="P97" i="37"/>
  <c r="Q97" i="37"/>
  <c r="R97" i="37"/>
  <c r="S97" i="37"/>
  <c r="N98" i="37"/>
  <c r="O98" i="37"/>
  <c r="P98" i="37"/>
  <c r="Q98" i="37"/>
  <c r="R98" i="37"/>
  <c r="S98" i="37"/>
  <c r="Q99" i="37"/>
  <c r="R99" i="37"/>
  <c r="S99" i="37"/>
  <c r="Q100" i="37"/>
  <c r="R100" i="37"/>
  <c r="S100" i="37"/>
  <c r="O104" i="37"/>
  <c r="P104" i="37"/>
  <c r="Q104" i="37"/>
  <c r="R104" i="37"/>
  <c r="R111" i="37" s="1"/>
  <c r="S104" i="37"/>
  <c r="D35" i="36" s="1"/>
  <c r="D46" i="17" s="1"/>
  <c r="D81" i="4" s="1"/>
  <c r="C83" i="1" s="1"/>
  <c r="E81" i="60" s="1"/>
  <c r="O105" i="37"/>
  <c r="P105" i="37"/>
  <c r="Q105" i="37"/>
  <c r="R105" i="37"/>
  <c r="S105" i="37"/>
  <c r="D36" i="36" s="1"/>
  <c r="D48" i="17" s="1"/>
  <c r="E106" i="37"/>
  <c r="F106" i="37"/>
  <c r="G106" i="37"/>
  <c r="H106" i="37"/>
  <c r="I106" i="37"/>
  <c r="O106" i="37"/>
  <c r="P106" i="37"/>
  <c r="Q106" i="37"/>
  <c r="R106" i="37"/>
  <c r="S106" i="37"/>
  <c r="D37" i="36" s="1"/>
  <c r="N107" i="37"/>
  <c r="O107" i="37"/>
  <c r="P107" i="37"/>
  <c r="Q107" i="37"/>
  <c r="R107" i="37"/>
  <c r="S107" i="37"/>
  <c r="N108" i="37"/>
  <c r="O108" i="37"/>
  <c r="P108" i="37"/>
  <c r="Q108" i="37"/>
  <c r="R108" i="37"/>
  <c r="S108" i="37"/>
  <c r="N109" i="37"/>
  <c r="P109" i="37"/>
  <c r="Q109" i="37"/>
  <c r="R109" i="37"/>
  <c r="S109" i="37"/>
  <c r="N110" i="37"/>
  <c r="N111" i="37"/>
  <c r="P111" i="37"/>
  <c r="Q111" i="37"/>
  <c r="P112" i="37"/>
  <c r="Q112" i="37"/>
  <c r="R112" i="37"/>
  <c r="S112" i="37"/>
  <c r="E113" i="37"/>
  <c r="F113" i="37"/>
  <c r="F112" i="37" s="1"/>
  <c r="F117" i="37" s="1"/>
  <c r="G113" i="37"/>
  <c r="G112" i="37" s="1"/>
  <c r="G117" i="37" s="1"/>
  <c r="H113" i="37"/>
  <c r="I113" i="37"/>
  <c r="I112" i="37" s="1"/>
  <c r="E123" i="37"/>
  <c r="F123" i="37"/>
  <c r="G123" i="37"/>
  <c r="H123" i="37"/>
  <c r="I123" i="37"/>
  <c r="E127" i="37"/>
  <c r="F127" i="37"/>
  <c r="G127" i="37"/>
  <c r="H127" i="37"/>
  <c r="I127" i="37"/>
  <c r="F131" i="37"/>
  <c r="E132" i="37"/>
  <c r="E131" i="37" s="1"/>
  <c r="E136" i="37" s="1"/>
  <c r="G132" i="37"/>
  <c r="G131" i="37" s="1"/>
  <c r="H132" i="37"/>
  <c r="H131" i="37" s="1"/>
  <c r="I132" i="37"/>
  <c r="I131" i="37" s="1"/>
  <c r="I136" i="37" s="1"/>
  <c r="P139" i="37"/>
  <c r="E144" i="37"/>
  <c r="F144" i="37"/>
  <c r="G144" i="37"/>
  <c r="H144" i="37"/>
  <c r="I144" i="37"/>
  <c r="E151" i="37"/>
  <c r="E150" i="37" s="1"/>
  <c r="E155" i="37" s="1"/>
  <c r="F151" i="37"/>
  <c r="F150" i="37" s="1"/>
  <c r="F155" i="37" s="1"/>
  <c r="G151" i="37"/>
  <c r="G150" i="37" s="1"/>
  <c r="G155" i="37" s="1"/>
  <c r="H151" i="37"/>
  <c r="H150" i="37" s="1"/>
  <c r="H155" i="37" s="1"/>
  <c r="I151" i="37"/>
  <c r="I150" i="37" s="1"/>
  <c r="I155" i="37" s="1"/>
  <c r="E163" i="37"/>
  <c r="F163" i="37"/>
  <c r="G163" i="37"/>
  <c r="H163" i="37"/>
  <c r="I163" i="37"/>
  <c r="E167" i="37"/>
  <c r="F167" i="37"/>
  <c r="G167" i="37"/>
  <c r="H167" i="37"/>
  <c r="O112" i="37" s="1"/>
  <c r="E185" i="37"/>
  <c r="F185" i="37"/>
  <c r="D8" i="19"/>
  <c r="E8" i="19"/>
  <c r="F8" i="19"/>
  <c r="D17" i="19"/>
  <c r="E17" i="19"/>
  <c r="F17" i="19"/>
  <c r="G18" i="19"/>
  <c r="D24" i="19"/>
  <c r="E24" i="19"/>
  <c r="F24" i="19"/>
  <c r="G27" i="19"/>
  <c r="D32" i="19"/>
  <c r="E32" i="19"/>
  <c r="F32" i="19"/>
  <c r="G33" i="19"/>
  <c r="G34" i="19"/>
  <c r="G35" i="19"/>
  <c r="D38" i="19"/>
  <c r="E38" i="19"/>
  <c r="F38" i="19"/>
  <c r="G39" i="19"/>
  <c r="D8" i="20"/>
  <c r="E8" i="20"/>
  <c r="F8" i="20"/>
  <c r="G11" i="20"/>
  <c r="G18" i="20"/>
  <c r="D17" i="20"/>
  <c r="D26" i="20"/>
  <c r="E26" i="20"/>
  <c r="F26" i="20"/>
  <c r="G29" i="20"/>
  <c r="D34" i="20"/>
  <c r="E34" i="20"/>
  <c r="F34" i="20"/>
  <c r="G35" i="20"/>
  <c r="G36" i="20"/>
  <c r="G37" i="20"/>
  <c r="G38" i="20"/>
  <c r="G39" i="20"/>
  <c r="G40" i="20"/>
  <c r="D43" i="20"/>
  <c r="E43" i="20"/>
  <c r="F43" i="20"/>
  <c r="G44" i="20"/>
  <c r="D51" i="20"/>
  <c r="E51" i="20"/>
  <c r="F51" i="20"/>
  <c r="D8" i="21"/>
  <c r="E8" i="21"/>
  <c r="F8" i="21"/>
  <c r="G11" i="21"/>
  <c r="D17" i="21"/>
  <c r="E17" i="21"/>
  <c r="F17" i="21"/>
  <c r="G18" i="21"/>
  <c r="G21" i="21"/>
  <c r="D24" i="21"/>
  <c r="E24" i="21"/>
  <c r="F24" i="21"/>
  <c r="G27" i="21"/>
  <c r="D32" i="21"/>
  <c r="E32" i="21"/>
  <c r="F32" i="21"/>
  <c r="G33" i="21"/>
  <c r="G34" i="21"/>
  <c r="G35" i="21"/>
  <c r="D38" i="21"/>
  <c r="E38" i="21"/>
  <c r="F38" i="21"/>
  <c r="G39" i="21"/>
  <c r="D8" i="22"/>
  <c r="E8" i="22"/>
  <c r="F8" i="22"/>
  <c r="G11" i="22"/>
  <c r="D17" i="22"/>
  <c r="E17" i="22"/>
  <c r="F17" i="22"/>
  <c r="G18" i="22"/>
  <c r="G21" i="22"/>
  <c r="D24" i="22"/>
  <c r="E24" i="22"/>
  <c r="F24" i="22"/>
  <c r="G27" i="22"/>
  <c r="D32" i="22"/>
  <c r="E32" i="22"/>
  <c r="F32" i="22"/>
  <c r="G33" i="22"/>
  <c r="G34" i="22"/>
  <c r="G35" i="22"/>
  <c r="D38" i="22"/>
  <c r="E38" i="22"/>
  <c r="F38" i="22"/>
  <c r="G39" i="22"/>
  <c r="D8" i="23"/>
  <c r="E8" i="23"/>
  <c r="F8" i="23"/>
  <c r="G10" i="23"/>
  <c r="D17" i="23"/>
  <c r="E17" i="23"/>
  <c r="F17" i="23"/>
  <c r="G18" i="23"/>
  <c r="G27" i="23"/>
  <c r="D32" i="23"/>
  <c r="E32" i="23"/>
  <c r="F32" i="23"/>
  <c r="G33" i="23"/>
  <c r="G34" i="23"/>
  <c r="G35" i="23"/>
  <c r="D38" i="23"/>
  <c r="E38" i="23"/>
  <c r="F38" i="23"/>
  <c r="D8" i="24"/>
  <c r="D25" i="24"/>
  <c r="D33" i="24"/>
  <c r="D42" i="24"/>
  <c r="D50" i="24"/>
  <c r="D8" i="25"/>
  <c r="D17" i="25"/>
  <c r="D33" i="25"/>
  <c r="D42" i="25"/>
  <c r="D50" i="25"/>
  <c r="D8" i="26"/>
  <c r="D17" i="26"/>
  <c r="D24" i="26"/>
  <c r="D32" i="26"/>
  <c r="D45" i="26" s="1"/>
  <c r="E2" i="40"/>
  <c r="F2" i="40"/>
  <c r="F4" i="40"/>
  <c r="G4" i="40"/>
  <c r="G3" i="40" s="1"/>
  <c r="G2" i="40" s="1"/>
  <c r="H4" i="40"/>
  <c r="H3" i="40" s="1"/>
  <c r="H2" i="40" s="1"/>
  <c r="I3" i="40"/>
  <c r="I2" i="40" s="1"/>
  <c r="F9" i="40"/>
  <c r="G11" i="40"/>
  <c r="G10" i="40" s="1"/>
  <c r="G9" i="40" s="1"/>
  <c r="H11" i="40"/>
  <c r="H10" i="40" s="1"/>
  <c r="H9" i="40" s="1"/>
  <c r="I30" i="40"/>
  <c r="J30" i="40"/>
  <c r="J28" i="40" s="1"/>
  <c r="E37" i="40"/>
  <c r="E28" i="40" s="1"/>
  <c r="F37" i="40"/>
  <c r="F28" i="40" s="1"/>
  <c r="G37" i="40"/>
  <c r="G28" i="40" s="1"/>
  <c r="H37" i="40"/>
  <c r="H28" i="40" s="1"/>
  <c r="I37" i="40"/>
  <c r="I28" i="40" s="1"/>
  <c r="E46" i="40"/>
  <c r="F46" i="40"/>
  <c r="F112" i="40" s="1"/>
  <c r="G55" i="40"/>
  <c r="H55" i="40"/>
  <c r="I55" i="40"/>
  <c r="H61" i="40"/>
  <c r="G61" i="40"/>
  <c r="G46" i="40" s="1"/>
  <c r="I72" i="40"/>
  <c r="E3" i="41"/>
  <c r="E2" i="41" s="1"/>
  <c r="F2" i="41"/>
  <c r="E14" i="41"/>
  <c r="S91" i="37"/>
  <c r="D10" i="36" s="1"/>
  <c r="H112" i="37"/>
  <c r="H117" i="37" s="1"/>
  <c r="D21" i="17"/>
  <c r="G169" i="35"/>
  <c r="G173" i="35" s="1"/>
  <c r="G154" i="35"/>
  <c r="G148" i="35"/>
  <c r="H148" i="35" s="1"/>
  <c r="H124" i="35"/>
  <c r="G108" i="35"/>
  <c r="H108" i="35" s="1"/>
  <c r="D18" i="34"/>
  <c r="G56" i="33"/>
  <c r="G76" i="33" s="1"/>
  <c r="H171" i="7"/>
  <c r="H50" i="7"/>
  <c r="F66" i="5"/>
  <c r="G23" i="36"/>
  <c r="H123" i="35"/>
  <c r="D17" i="18"/>
  <c r="D31" i="18" s="1"/>
  <c r="F31" i="7"/>
  <c r="D31" i="4"/>
  <c r="C38" i="1" s="1"/>
  <c r="G60" i="5"/>
  <c r="G9" i="5"/>
  <c r="D72" i="4"/>
  <c r="C17" i="3" s="1"/>
  <c r="C26" i="3" s="1"/>
  <c r="I75" i="60" s="1"/>
  <c r="G100" i="5"/>
  <c r="F29" i="23"/>
  <c r="E45" i="21"/>
  <c r="E29" i="21"/>
  <c r="F17" i="20"/>
  <c r="G119" i="35"/>
  <c r="H119" i="35" s="1"/>
  <c r="G36" i="34"/>
  <c r="G24" i="28"/>
  <c r="G30" i="10"/>
  <c r="H44" i="35"/>
  <c r="G46" i="15"/>
  <c r="E233" i="7"/>
  <c r="H126" i="6"/>
  <c r="D11" i="5"/>
  <c r="G105" i="7"/>
  <c r="H105" i="7" s="1"/>
  <c r="F143" i="6"/>
  <c r="G54" i="5"/>
  <c r="H18" i="7"/>
  <c r="G102" i="5"/>
  <c r="G14" i="17"/>
  <c r="G16" i="17"/>
  <c r="G11" i="17"/>
  <c r="G51" i="17"/>
  <c r="G25" i="17"/>
  <c r="G13" i="17"/>
  <c r="G49" i="17"/>
  <c r="E45" i="23"/>
  <c r="G46" i="30"/>
  <c r="G32" i="29"/>
  <c r="G50" i="33"/>
  <c r="G43" i="5"/>
  <c r="G30" i="11"/>
  <c r="G17" i="16"/>
  <c r="G143" i="6"/>
  <c r="H49" i="6"/>
  <c r="F17" i="18"/>
  <c r="G45" i="28"/>
  <c r="G17" i="14"/>
  <c r="G33" i="12"/>
  <c r="G17" i="12"/>
  <c r="H107" i="7"/>
  <c r="E82" i="5"/>
  <c r="E92" i="4" s="1"/>
  <c r="G233" i="7"/>
  <c r="G27" i="5"/>
  <c r="F29" i="6"/>
  <c r="H197" i="7"/>
  <c r="H158" i="7"/>
  <c r="G33" i="10"/>
  <c r="G17" i="10"/>
  <c r="G33" i="13"/>
  <c r="G33" i="15"/>
  <c r="G34" i="16"/>
  <c r="G51" i="18"/>
  <c r="G43" i="20"/>
  <c r="G19" i="20"/>
  <c r="E17" i="20"/>
  <c r="G32" i="21"/>
  <c r="G17" i="22"/>
  <c r="G33" i="24"/>
  <c r="G47" i="17"/>
  <c r="G33" i="25"/>
  <c r="G32" i="26"/>
  <c r="G17" i="26"/>
  <c r="G17" i="27"/>
  <c r="G32" i="28"/>
  <c r="G8" i="28"/>
  <c r="G32" i="30"/>
  <c r="G8" i="30"/>
  <c r="G32" i="31"/>
  <c r="G8" i="34"/>
  <c r="H102" i="35"/>
  <c r="G35" i="34"/>
  <c r="H38" i="35"/>
  <c r="G34" i="34"/>
  <c r="H27" i="35"/>
  <c r="G111" i="35"/>
  <c r="H31" i="35"/>
  <c r="E15" i="35"/>
  <c r="E14" i="35" s="1"/>
  <c r="E36" i="35" s="1"/>
  <c r="G60" i="4"/>
  <c r="G36" i="9"/>
  <c r="G46" i="9"/>
  <c r="G47" i="14"/>
  <c r="G46" i="12"/>
  <c r="G47" i="16"/>
  <c r="G46" i="11"/>
  <c r="G33" i="11"/>
  <c r="H23" i="7"/>
  <c r="H131" i="6"/>
  <c r="G33" i="9"/>
  <c r="G136" i="35"/>
  <c r="G135" i="35" s="1"/>
  <c r="G117" i="35"/>
  <c r="H117" i="35" s="1"/>
  <c r="G38" i="34"/>
  <c r="H125" i="35"/>
  <c r="G17" i="31"/>
  <c r="G17" i="30"/>
  <c r="G17" i="29"/>
  <c r="G45" i="29"/>
  <c r="G8" i="29"/>
  <c r="G29" i="29"/>
  <c r="G29" i="28"/>
  <c r="G32" i="27"/>
  <c r="G17" i="25"/>
  <c r="G50" i="25"/>
  <c r="G17" i="23"/>
  <c r="F45" i="22"/>
  <c r="F29" i="22"/>
  <c r="F31" i="18"/>
  <c r="E17" i="18"/>
  <c r="G19" i="18"/>
  <c r="G17" i="9"/>
  <c r="H37" i="6"/>
  <c r="G7" i="6"/>
  <c r="H17" i="6"/>
  <c r="G22" i="5"/>
  <c r="H26" i="6"/>
  <c r="G29" i="5"/>
  <c r="H58" i="6"/>
  <c r="G23" i="5"/>
  <c r="H9" i="6"/>
  <c r="G63" i="17"/>
  <c r="G26" i="36"/>
  <c r="S111" i="37"/>
  <c r="F31" i="20"/>
  <c r="G162" i="35"/>
  <c r="G17" i="24"/>
  <c r="G29" i="30"/>
  <c r="E100" i="33"/>
  <c r="E50" i="33"/>
  <c r="E129" i="35"/>
  <c r="G15" i="35"/>
  <c r="G14" i="35" s="1"/>
  <c r="G36" i="35" s="1"/>
  <c r="G18" i="34"/>
  <c r="H16" i="35"/>
  <c r="G41" i="36"/>
  <c r="G38" i="17"/>
  <c r="G48" i="5"/>
  <c r="G29" i="7"/>
  <c r="G30" i="24"/>
  <c r="E17" i="3"/>
  <c r="G64" i="5"/>
  <c r="G63" i="5"/>
  <c r="G65" i="4"/>
  <c r="F27" i="1"/>
  <c r="G30" i="9"/>
  <c r="G30" i="15"/>
  <c r="G73" i="5"/>
  <c r="H235" i="7"/>
  <c r="F13" i="7"/>
  <c r="G7" i="3"/>
  <c r="C101" i="1"/>
  <c r="E109" i="60" s="1"/>
  <c r="F176" i="7"/>
  <c r="G176" i="7"/>
  <c r="D109" i="5"/>
  <c r="D121" i="4" s="1"/>
  <c r="C100" i="1"/>
  <c r="E108" i="60" s="1"/>
  <c r="G6" i="3"/>
  <c r="G34" i="4"/>
  <c r="I166" i="37"/>
  <c r="D50" i="17"/>
  <c r="E37" i="41"/>
  <c r="D19" i="17"/>
  <c r="D17" i="36"/>
  <c r="D29" i="4"/>
  <c r="C36" i="1" s="1"/>
  <c r="E10" i="60" s="1"/>
  <c r="G72" i="4"/>
  <c r="D29" i="31"/>
  <c r="I27" i="31" s="1"/>
  <c r="D29" i="30"/>
  <c r="I27" i="30" s="1"/>
  <c r="D36" i="5"/>
  <c r="G31" i="17"/>
  <c r="C23" i="1"/>
  <c r="F62" i="1"/>
  <c r="D70" i="4"/>
  <c r="C60" i="1" s="1"/>
  <c r="G44" i="5"/>
  <c r="D37" i="4"/>
  <c r="C49" i="1"/>
  <c r="G71" i="4"/>
  <c r="G112" i="40"/>
  <c r="G116" i="40" s="1"/>
  <c r="F10" i="40"/>
  <c r="F11" i="40"/>
  <c r="G50" i="5"/>
  <c r="G12" i="5"/>
  <c r="G9" i="4"/>
  <c r="H46" i="40" l="1"/>
  <c r="E112" i="40"/>
  <c r="F45" i="23"/>
  <c r="G8" i="23"/>
  <c r="G38" i="22"/>
  <c r="E45" i="22"/>
  <c r="G34" i="20"/>
  <c r="E45" i="19"/>
  <c r="G17" i="19"/>
  <c r="E162" i="35"/>
  <c r="E8" i="33"/>
  <c r="E7" i="33" s="1"/>
  <c r="E26" i="33" s="1"/>
  <c r="F50" i="18"/>
  <c r="G8" i="18"/>
  <c r="H220" i="7"/>
  <c r="H207" i="7"/>
  <c r="H180" i="7"/>
  <c r="F130" i="7"/>
  <c r="G50" i="35"/>
  <c r="E56" i="33"/>
  <c r="E76" i="33" s="1"/>
  <c r="D24" i="4"/>
  <c r="C21" i="1" s="1"/>
  <c r="D18" i="4"/>
  <c r="C15" i="1" s="1"/>
  <c r="E13" i="7"/>
  <c r="E29" i="6"/>
  <c r="G13" i="7"/>
  <c r="E112" i="4"/>
  <c r="K83" i="5"/>
  <c r="D94" i="4"/>
  <c r="C96" i="1" s="1"/>
  <c r="E83" i="4"/>
  <c r="H8" i="2" s="1"/>
  <c r="K78" i="5"/>
  <c r="C6" i="3"/>
  <c r="D8" i="5"/>
  <c r="J8" i="4" s="1"/>
  <c r="D82" i="4"/>
  <c r="G7" i="2" s="1"/>
  <c r="O23" i="69"/>
  <c r="D22" i="4"/>
  <c r="C19" i="1" s="1"/>
  <c r="E33" i="60" s="1"/>
  <c r="F83" i="4"/>
  <c r="I8" i="2" s="1"/>
  <c r="L78" i="5"/>
  <c r="D19" i="5"/>
  <c r="D20" i="4" s="1"/>
  <c r="C17" i="1" s="1"/>
  <c r="E31" i="60" s="1"/>
  <c r="D46" i="4"/>
  <c r="D34" i="36"/>
  <c r="D47" i="36" s="1"/>
  <c r="E176" i="7"/>
  <c r="H170" i="7"/>
  <c r="G11" i="5"/>
  <c r="E31" i="18"/>
  <c r="G45" i="22"/>
  <c r="E31" i="20"/>
  <c r="D17" i="8"/>
  <c r="C63" i="1"/>
  <c r="C147" i="1" s="1"/>
  <c r="N92" i="37"/>
  <c r="I22" i="69"/>
  <c r="AD22" i="69" s="1"/>
  <c r="D50" i="20"/>
  <c r="N104" i="37"/>
  <c r="F166" i="37"/>
  <c r="G60" i="37"/>
  <c r="G20" i="37"/>
  <c r="E20" i="37"/>
  <c r="I23" i="69"/>
  <c r="AD23" i="69" s="1"/>
  <c r="AD24" i="69"/>
  <c r="O28" i="69"/>
  <c r="O55" i="69" s="1"/>
  <c r="B31" i="70" s="1"/>
  <c r="AD29" i="69"/>
  <c r="D86" i="4"/>
  <c r="C88" i="1" s="1"/>
  <c r="C77" i="60"/>
  <c r="H31" i="7"/>
  <c r="G97" i="5"/>
  <c r="H153" i="7"/>
  <c r="G8" i="31"/>
  <c r="F29" i="31"/>
  <c r="H24" i="69" s="1"/>
  <c r="H23" i="69" s="1"/>
  <c r="Q24" i="69"/>
  <c r="Q23" i="69" s="1"/>
  <c r="Q55" i="69" s="1"/>
  <c r="D31" i="70" s="1"/>
  <c r="E29" i="31"/>
  <c r="G24" i="69" s="1"/>
  <c r="P24" i="69"/>
  <c r="P23" i="69" s="1"/>
  <c r="P55" i="69" s="1"/>
  <c r="C31" i="70" s="1"/>
  <c r="G101" i="35"/>
  <c r="H101" i="35" s="1"/>
  <c r="D17" i="34"/>
  <c r="D30" i="34" s="1"/>
  <c r="I30" i="69"/>
  <c r="D34" i="69"/>
  <c r="G34" i="69" s="1"/>
  <c r="AE34" i="69" s="1"/>
  <c r="G45" i="69"/>
  <c r="G131" i="7"/>
  <c r="F86" i="5" s="1"/>
  <c r="D17" i="70"/>
  <c r="E76" i="5"/>
  <c r="E85" i="4" s="1"/>
  <c r="H9" i="2" s="1"/>
  <c r="D33" i="69"/>
  <c r="F135" i="6"/>
  <c r="F139" i="6" s="1"/>
  <c r="F144" i="6" s="1"/>
  <c r="AF24" i="69"/>
  <c r="E34" i="69"/>
  <c r="AF34" i="69" s="1"/>
  <c r="H45" i="69"/>
  <c r="X18" i="70"/>
  <c r="AA18" i="70" s="1"/>
  <c r="F95" i="5"/>
  <c r="F76" i="5"/>
  <c r="E33" i="69"/>
  <c r="D28" i="36"/>
  <c r="D40" i="17" s="1"/>
  <c r="E11" i="60"/>
  <c r="E8" i="60" s="1"/>
  <c r="C44" i="1"/>
  <c r="E50" i="60" s="1"/>
  <c r="E42" i="60" s="1"/>
  <c r="G31" i="18"/>
  <c r="E67" i="5"/>
  <c r="E75" i="4" s="1"/>
  <c r="E125" i="6"/>
  <c r="D58" i="5"/>
  <c r="D53" i="4" s="1"/>
  <c r="C57" i="1" s="1"/>
  <c r="E54" i="60" s="1"/>
  <c r="F67" i="5"/>
  <c r="F75" i="4" s="1"/>
  <c r="E94" i="1"/>
  <c r="G33" i="57"/>
  <c r="G34" i="57" s="1"/>
  <c r="D57" i="4"/>
  <c r="C9" i="2" s="1"/>
  <c r="H202" i="7"/>
  <c r="F233" i="7"/>
  <c r="H233" i="7" s="1"/>
  <c r="H231" i="7"/>
  <c r="H14" i="7"/>
  <c r="H13" i="7"/>
  <c r="F19" i="5"/>
  <c r="E57" i="33"/>
  <c r="G34" i="18"/>
  <c r="E120" i="1"/>
  <c r="E118" i="1" s="1"/>
  <c r="E151" i="1" s="1"/>
  <c r="I18" i="2"/>
  <c r="H30" i="6"/>
  <c r="H102" i="6"/>
  <c r="E26" i="3"/>
  <c r="G73" i="60"/>
  <c r="G75" i="60" s="1"/>
  <c r="C151" i="1"/>
  <c r="H181" i="35"/>
  <c r="H170" i="35"/>
  <c r="H141" i="35"/>
  <c r="H121" i="35"/>
  <c r="H50" i="35"/>
  <c r="G17" i="18"/>
  <c r="H136" i="35"/>
  <c r="F18" i="5"/>
  <c r="F19" i="4" s="1"/>
  <c r="E16" i="1" s="1"/>
  <c r="G30" i="60" s="1"/>
  <c r="F74" i="4"/>
  <c r="F65" i="5"/>
  <c r="G32" i="23"/>
  <c r="G32" i="22"/>
  <c r="E29" i="22"/>
  <c r="G29" i="22" s="1"/>
  <c r="G17" i="21"/>
  <c r="G8" i="21"/>
  <c r="G51" i="20"/>
  <c r="F50" i="20"/>
  <c r="E50" i="20"/>
  <c r="F96" i="5"/>
  <c r="F113" i="4"/>
  <c r="E18" i="5"/>
  <c r="E19" i="4" s="1"/>
  <c r="D16" i="1" s="1"/>
  <c r="F30" i="60" s="1"/>
  <c r="E3" i="58"/>
  <c r="E201" i="58" s="1"/>
  <c r="E87" i="4"/>
  <c r="E84" i="4" s="1"/>
  <c r="E77" i="5"/>
  <c r="F29" i="19"/>
  <c r="E166" i="37"/>
  <c r="H22" i="35"/>
  <c r="F100" i="33"/>
  <c r="D54" i="17"/>
  <c r="D30" i="14"/>
  <c r="D33" i="8"/>
  <c r="D8" i="8"/>
  <c r="H211" i="7"/>
  <c r="E96" i="5"/>
  <c r="E94" i="5" s="1"/>
  <c r="E113" i="4"/>
  <c r="D25" i="4"/>
  <c r="C22" i="1" s="1"/>
  <c r="D21" i="4"/>
  <c r="C18" i="1" s="1"/>
  <c r="E32" i="60" s="1"/>
  <c r="G6" i="2"/>
  <c r="D23" i="4"/>
  <c r="C20" i="1" s="1"/>
  <c r="E34" i="60" s="1"/>
  <c r="H222" i="7"/>
  <c r="H230" i="7"/>
  <c r="G75" i="5"/>
  <c r="D18" i="5"/>
  <c r="D16" i="5" s="1"/>
  <c r="D7" i="5" s="1"/>
  <c r="D26" i="5"/>
  <c r="E47" i="6"/>
  <c r="H47" i="6"/>
  <c r="H29" i="6"/>
  <c r="C62" i="1"/>
  <c r="D107" i="5"/>
  <c r="D11" i="4"/>
  <c r="C8" i="1" s="1"/>
  <c r="G17" i="20"/>
  <c r="G129" i="35"/>
  <c r="G45" i="23"/>
  <c r="E29" i="23"/>
  <c r="G29" i="23" s="1"/>
  <c r="G8" i="33"/>
  <c r="G7" i="33" s="1"/>
  <c r="G26" i="33" s="1"/>
  <c r="D18" i="32"/>
  <c r="I31" i="69" s="1"/>
  <c r="AD31" i="69" s="1"/>
  <c r="D63" i="17"/>
  <c r="C8" i="3"/>
  <c r="C54" i="1"/>
  <c r="C51" i="1" s="1"/>
  <c r="G32" i="19"/>
  <c r="F45" i="19"/>
  <c r="G45" i="19" s="1"/>
  <c r="H34" i="37"/>
  <c r="H39" i="37" s="1"/>
  <c r="O95" i="37"/>
  <c r="I11" i="37"/>
  <c r="I20" i="37" s="1"/>
  <c r="S95" i="37"/>
  <c r="H162" i="35"/>
  <c r="G100" i="33"/>
  <c r="E34" i="7"/>
  <c r="E130" i="7" s="1"/>
  <c r="H111" i="35"/>
  <c r="H125" i="7"/>
  <c r="H137" i="35"/>
  <c r="H154" i="35"/>
  <c r="D49" i="24"/>
  <c r="D30" i="24"/>
  <c r="D31" i="20"/>
  <c r="M29" i="20" s="1"/>
  <c r="E29" i="19"/>
  <c r="D29" i="19"/>
  <c r="H166" i="37"/>
  <c r="F20" i="37"/>
  <c r="F165" i="37" s="1"/>
  <c r="E136" i="35"/>
  <c r="E135" i="35" s="1"/>
  <c r="E146" i="35" s="1"/>
  <c r="K146" i="35" s="1"/>
  <c r="E101" i="35"/>
  <c r="E100" i="35" s="1"/>
  <c r="E115" i="35" s="1"/>
  <c r="D46" i="10"/>
  <c r="D30" i="9"/>
  <c r="D50" i="5"/>
  <c r="C141" i="60"/>
  <c r="H125" i="6"/>
  <c r="F88" i="5"/>
  <c r="F105" i="4" s="1"/>
  <c r="E100" i="1" s="1"/>
  <c r="G108" i="60" s="1"/>
  <c r="G236" i="7"/>
  <c r="E236" i="7"/>
  <c r="F121" i="4"/>
  <c r="I18" i="3" s="1"/>
  <c r="F107" i="5"/>
  <c r="D84" i="1"/>
  <c r="F82" i="60" s="1"/>
  <c r="F59" i="4"/>
  <c r="F26" i="5"/>
  <c r="F11" i="4"/>
  <c r="F8" i="4" s="1"/>
  <c r="C26" i="1"/>
  <c r="C24" i="1" s="1"/>
  <c r="E4" i="60" s="1"/>
  <c r="G31" i="20"/>
  <c r="H112" i="40"/>
  <c r="D46" i="34"/>
  <c r="D46" i="15"/>
  <c r="D30" i="11"/>
  <c r="H190" i="7"/>
  <c r="E121" i="4"/>
  <c r="E107" i="5"/>
  <c r="G168" i="7"/>
  <c r="F104" i="5"/>
  <c r="F100" i="4"/>
  <c r="I11" i="2" s="1"/>
  <c r="E84" i="1"/>
  <c r="G82" i="60" s="1"/>
  <c r="F55" i="5"/>
  <c r="E59" i="4"/>
  <c r="E11" i="4"/>
  <c r="E8" i="4" s="1"/>
  <c r="L146" i="58"/>
  <c r="G18" i="8"/>
  <c r="G17" i="8" s="1"/>
  <c r="L158" i="58"/>
  <c r="D17" i="3"/>
  <c r="H30" i="7"/>
  <c r="G31" i="4"/>
  <c r="F19" i="1"/>
  <c r="G22" i="4"/>
  <c r="G23" i="4"/>
  <c r="G21" i="4"/>
  <c r="G25" i="4"/>
  <c r="G20" i="17"/>
  <c r="G68" i="4"/>
  <c r="F29" i="7"/>
  <c r="H29" i="7" s="1"/>
  <c r="G24" i="4"/>
  <c r="H60" i="37"/>
  <c r="E165" i="37"/>
  <c r="F136" i="37"/>
  <c r="G56" i="17"/>
  <c r="G26" i="7"/>
  <c r="D6" i="3"/>
  <c r="G36" i="36"/>
  <c r="G48" i="17"/>
  <c r="G10" i="36"/>
  <c r="G8" i="36"/>
  <c r="G82" i="5"/>
  <c r="H21" i="7"/>
  <c r="G46" i="34"/>
  <c r="G33" i="34"/>
  <c r="G53" i="17"/>
  <c r="G34" i="7"/>
  <c r="F81" i="5" s="1"/>
  <c r="H49" i="7"/>
  <c r="G86" i="4"/>
  <c r="F37" i="41"/>
  <c r="E167" i="7" s="1"/>
  <c r="E168" i="7" s="1"/>
  <c r="G165" i="7"/>
  <c r="G2" i="41"/>
  <c r="G37" i="41" s="1"/>
  <c r="F167" i="7" s="1"/>
  <c r="C18" i="70" s="1"/>
  <c r="F18" i="70" s="1"/>
  <c r="K123" i="58"/>
  <c r="K201" i="58" s="1"/>
  <c r="L41" i="58"/>
  <c r="H3" i="58"/>
  <c r="E149" i="7" s="1"/>
  <c r="D88" i="5" s="1"/>
  <c r="L124" i="58"/>
  <c r="J3" i="58"/>
  <c r="L83" i="58"/>
  <c r="L4" i="58"/>
  <c r="I28" i="57"/>
  <c r="G146" i="35"/>
  <c r="H146" i="35" s="1"/>
  <c r="H135" i="35"/>
  <c r="G28" i="5"/>
  <c r="I117" i="37"/>
  <c r="G34" i="36"/>
  <c r="G35" i="36"/>
  <c r="G41" i="4"/>
  <c r="D10" i="17"/>
  <c r="D8" i="36"/>
  <c r="D31" i="36" s="1"/>
  <c r="D83" i="4"/>
  <c r="G8" i="2" s="1"/>
  <c r="D45" i="23"/>
  <c r="H136" i="37"/>
  <c r="R102" i="37"/>
  <c r="H209" i="7"/>
  <c r="F97" i="6"/>
  <c r="E66" i="5" s="1"/>
  <c r="F29" i="21"/>
  <c r="G29" i="21" s="1"/>
  <c r="H143" i="35"/>
  <c r="D47" i="16"/>
  <c r="D30" i="15"/>
  <c r="I28" i="15" s="1"/>
  <c r="D40" i="60"/>
  <c r="G9" i="2"/>
  <c r="D29" i="26"/>
  <c r="I29" i="26" s="1"/>
  <c r="G8" i="22"/>
  <c r="G38" i="21"/>
  <c r="H151" i="35"/>
  <c r="E50" i="35"/>
  <c r="K28" i="35" s="1"/>
  <c r="D47" i="32"/>
  <c r="I27" i="29"/>
  <c r="G38" i="27"/>
  <c r="I28" i="14"/>
  <c r="G46" i="13"/>
  <c r="D30" i="13"/>
  <c r="D30" i="12"/>
  <c r="J28" i="12" s="1"/>
  <c r="C40" i="60"/>
  <c r="F6" i="1"/>
  <c r="E34" i="70"/>
  <c r="C12" i="3"/>
  <c r="H15" i="35"/>
  <c r="G21" i="17"/>
  <c r="G17" i="15"/>
  <c r="G34" i="14"/>
  <c r="E101" i="6"/>
  <c r="E135" i="6" s="1"/>
  <c r="E139" i="6" s="1"/>
  <c r="E144" i="6" s="1"/>
  <c r="G30" i="25"/>
  <c r="D30" i="25"/>
  <c r="D46" i="9"/>
  <c r="I28" i="9" s="1"/>
  <c r="G24" i="17"/>
  <c r="G116" i="4"/>
  <c r="G102" i="4"/>
  <c r="F111" i="1"/>
  <c r="G12" i="4"/>
  <c r="F9" i="1"/>
  <c r="G30" i="17"/>
  <c r="G37" i="17"/>
  <c r="D126" i="4"/>
  <c r="D128" i="4" s="1"/>
  <c r="C84" i="1"/>
  <c r="E82" i="60" s="1"/>
  <c r="H14" i="35"/>
  <c r="H36" i="35"/>
  <c r="D45" i="17"/>
  <c r="D62" i="17" s="1"/>
  <c r="C86" i="1"/>
  <c r="E84" i="60" s="1"/>
  <c r="H176" i="7"/>
  <c r="F20" i="1"/>
  <c r="H7" i="6"/>
  <c r="G109" i="5"/>
  <c r="K71" i="33"/>
  <c r="G100" i="35"/>
  <c r="G115" i="35" s="1"/>
  <c r="F32" i="1"/>
  <c r="D49" i="25"/>
  <c r="G8" i="20"/>
  <c r="G38" i="19"/>
  <c r="O111" i="37"/>
  <c r="D46" i="30"/>
  <c r="D29" i="28"/>
  <c r="D46" i="13"/>
  <c r="D25" i="8"/>
  <c r="H234" i="7"/>
  <c r="D95" i="5"/>
  <c r="D112" i="4" s="1"/>
  <c r="D141" i="60"/>
  <c r="G49" i="25"/>
  <c r="D45" i="27"/>
  <c r="D29" i="27"/>
  <c r="G30" i="14"/>
  <c r="E97" i="6"/>
  <c r="D149" i="1"/>
  <c r="G25" i="5"/>
  <c r="F21" i="1"/>
  <c r="G30" i="13"/>
  <c r="F45" i="21"/>
  <c r="I46" i="40"/>
  <c r="I112" i="40" s="1"/>
  <c r="E133" i="7" s="1"/>
  <c r="I28" i="25"/>
  <c r="D29" i="22"/>
  <c r="I32" i="22" s="1"/>
  <c r="D45" i="19"/>
  <c r="G136" i="37"/>
  <c r="E112" i="37"/>
  <c r="E117" i="37" s="1"/>
  <c r="Q102" i="37"/>
  <c r="D45" i="31"/>
  <c r="G17" i="28"/>
  <c r="E50" i="18"/>
  <c r="G50" i="18" s="1"/>
  <c r="D30" i="16"/>
  <c r="D30" i="10"/>
  <c r="F236" i="7"/>
  <c r="H236" i="7" s="1"/>
  <c r="G45" i="26"/>
  <c r="D29" i="23"/>
  <c r="D45" i="22"/>
  <c r="D45" i="21"/>
  <c r="D29" i="21"/>
  <c r="I27" i="21" s="1"/>
  <c r="I31" i="20"/>
  <c r="K20" i="20" s="1"/>
  <c r="G29" i="19"/>
  <c r="P102" i="37"/>
  <c r="D45" i="28"/>
  <c r="G29" i="27"/>
  <c r="D50" i="18"/>
  <c r="G30" i="12"/>
  <c r="G39" i="9"/>
  <c r="H139" i="35"/>
  <c r="D28" i="4"/>
  <c r="D27" i="4" s="1"/>
  <c r="K19" i="33"/>
  <c r="G37" i="36"/>
  <c r="G19" i="36"/>
  <c r="H173" i="35"/>
  <c r="H169" i="35"/>
  <c r="G21" i="34"/>
  <c r="G42" i="36"/>
  <c r="G40" i="36"/>
  <c r="G28" i="36"/>
  <c r="H27" i="7"/>
  <c r="G17" i="36"/>
  <c r="G18" i="36"/>
  <c r="G32" i="17"/>
  <c r="G33" i="17"/>
  <c r="O94" i="37"/>
  <c r="O102" i="37" s="1"/>
  <c r="H20" i="37"/>
  <c r="F15" i="6"/>
  <c r="E19" i="5" s="1"/>
  <c r="H16" i="6"/>
  <c r="F88" i="1"/>
  <c r="G29" i="26"/>
  <c r="G45" i="31"/>
  <c r="G30" i="16"/>
  <c r="G62" i="5"/>
  <c r="F38" i="1"/>
  <c r="I28" i="24"/>
  <c r="D41" i="8"/>
  <c r="D48" i="8" s="1"/>
  <c r="F41" i="1"/>
  <c r="F22" i="1"/>
  <c r="D45" i="29"/>
  <c r="H123" i="58"/>
  <c r="F33" i="57" s="1"/>
  <c r="D119" i="4"/>
  <c r="G18" i="3"/>
  <c r="C129" i="1"/>
  <c r="C127" i="1" s="1"/>
  <c r="C117" i="1" s="1"/>
  <c r="G16" i="4"/>
  <c r="D15" i="3"/>
  <c r="C6" i="1"/>
  <c r="G35" i="4"/>
  <c r="F18" i="1"/>
  <c r="G25" i="36"/>
  <c r="F60" i="1"/>
  <c r="G70" i="4"/>
  <c r="E27" i="3"/>
  <c r="G99" i="4"/>
  <c r="E15" i="3"/>
  <c r="G54" i="4"/>
  <c r="C15" i="3"/>
  <c r="C58" i="1"/>
  <c r="E56" i="60" s="1"/>
  <c r="G37" i="5"/>
  <c r="G58" i="4"/>
  <c r="G130" i="7" l="1"/>
  <c r="G165" i="37"/>
  <c r="I28" i="34"/>
  <c r="G95" i="5"/>
  <c r="L83" i="5"/>
  <c r="E28" i="7"/>
  <c r="J67" i="4"/>
  <c r="D85" i="1"/>
  <c r="F83" i="60" s="1"/>
  <c r="F73" i="4"/>
  <c r="J83" i="5"/>
  <c r="E85" i="1"/>
  <c r="G83" i="60" s="1"/>
  <c r="AE24" i="69"/>
  <c r="D30" i="8"/>
  <c r="I28" i="8" s="1"/>
  <c r="D51" i="4"/>
  <c r="E36" i="70" s="1"/>
  <c r="E21" i="60"/>
  <c r="E20" i="60" s="1"/>
  <c r="H165" i="37"/>
  <c r="I29" i="28"/>
  <c r="I28" i="10"/>
  <c r="D81" i="5"/>
  <c r="D91" i="4" s="1"/>
  <c r="S94" i="37"/>
  <c r="S102" i="37" s="1"/>
  <c r="E111" i="4"/>
  <c r="D106" i="1" s="1"/>
  <c r="F110" i="60" s="1"/>
  <c r="E87" i="6"/>
  <c r="E91" i="6" s="1"/>
  <c r="E98" i="6" s="1"/>
  <c r="E146" i="6" s="1"/>
  <c r="E148" i="6" s="1"/>
  <c r="G107" i="5"/>
  <c r="G113" i="4"/>
  <c r="C85" i="1"/>
  <c r="E83" i="60" s="1"/>
  <c r="G29" i="31"/>
  <c r="G23" i="69"/>
  <c r="G134" i="7"/>
  <c r="D86" i="1"/>
  <c r="F84" i="60" s="1"/>
  <c r="AF23" i="69"/>
  <c r="AE23" i="69"/>
  <c r="I28" i="69"/>
  <c r="AD30" i="69"/>
  <c r="K75" i="60"/>
  <c r="I165" i="37"/>
  <c r="E57" i="60"/>
  <c r="Z18" i="70"/>
  <c r="D24" i="70"/>
  <c r="G125" i="60"/>
  <c r="G130" i="60" s="1"/>
  <c r="D55" i="5"/>
  <c r="H33" i="69"/>
  <c r="E28" i="69"/>
  <c r="E55" i="69" s="1"/>
  <c r="F94" i="5"/>
  <c r="G94" i="5" s="1"/>
  <c r="AE45" i="69"/>
  <c r="F149" i="7"/>
  <c r="E88" i="5" s="1"/>
  <c r="E105" i="4" s="1"/>
  <c r="H6" i="3" s="1"/>
  <c r="G31" i="57"/>
  <c r="F85" i="4"/>
  <c r="G76" i="5"/>
  <c r="F112" i="4"/>
  <c r="G112" i="4" s="1"/>
  <c r="AF45" i="69"/>
  <c r="G33" i="69"/>
  <c r="D28" i="69"/>
  <c r="D55" i="69" s="1"/>
  <c r="G17" i="70"/>
  <c r="E27" i="7"/>
  <c r="C55" i="1"/>
  <c r="F105" i="5"/>
  <c r="F117" i="4" s="1"/>
  <c r="G239" i="7"/>
  <c r="G135" i="7"/>
  <c r="G145" i="7" s="1"/>
  <c r="G92" i="4"/>
  <c r="G59" i="4"/>
  <c r="E32" i="70"/>
  <c r="H101" i="6"/>
  <c r="G135" i="6"/>
  <c r="G139" i="6" s="1"/>
  <c r="G144" i="6" s="1"/>
  <c r="D94" i="5"/>
  <c r="D111" i="4" s="1"/>
  <c r="G96" i="5"/>
  <c r="C35" i="1"/>
  <c r="C34" i="1" s="1"/>
  <c r="H201" i="58"/>
  <c r="G4" i="6"/>
  <c r="G91" i="6" s="1"/>
  <c r="G98" i="6" s="1"/>
  <c r="F16" i="5"/>
  <c r="F20" i="4"/>
  <c r="E17" i="1" s="1"/>
  <c r="G31" i="60" s="1"/>
  <c r="G28" i="60" s="1"/>
  <c r="G26" i="3"/>
  <c r="E133" i="60"/>
  <c r="E139" i="60" s="1"/>
  <c r="D26" i="3"/>
  <c r="F73" i="60"/>
  <c r="F75" i="60" s="1"/>
  <c r="E66" i="1"/>
  <c r="E64" i="1" s="1"/>
  <c r="E20" i="2"/>
  <c r="G24" i="70" s="1"/>
  <c r="I26" i="3"/>
  <c r="G133" i="60"/>
  <c r="G139" i="60" s="1"/>
  <c r="I26" i="2"/>
  <c r="H129" i="35"/>
  <c r="H115" i="35"/>
  <c r="H100" i="35"/>
  <c r="D94" i="1"/>
  <c r="F94" i="1" s="1"/>
  <c r="E74" i="4"/>
  <c r="E65" i="5"/>
  <c r="G50" i="20"/>
  <c r="G11" i="4"/>
  <c r="D61" i="5"/>
  <c r="D69" i="5" s="1"/>
  <c r="D8" i="4"/>
  <c r="C8" i="2" s="1"/>
  <c r="H72" i="6"/>
  <c r="G26" i="5"/>
  <c r="D17" i="32"/>
  <c r="D31" i="32" s="1"/>
  <c r="J29" i="32" s="1"/>
  <c r="D20" i="17"/>
  <c r="D8" i="1"/>
  <c r="D5" i="1" s="1"/>
  <c r="G36" i="70"/>
  <c r="E57" i="1"/>
  <c r="G54" i="60" s="1"/>
  <c r="G57" i="60" s="1"/>
  <c r="E13" i="3"/>
  <c r="E114" i="1"/>
  <c r="G87" i="60" s="1"/>
  <c r="F101" i="4"/>
  <c r="F101" i="5"/>
  <c r="E8" i="1"/>
  <c r="E5" i="1" s="1"/>
  <c r="E16" i="5"/>
  <c r="E20" i="4"/>
  <c r="F165" i="7"/>
  <c r="H165" i="7" s="1"/>
  <c r="E104" i="5"/>
  <c r="F91" i="4"/>
  <c r="F77" i="5"/>
  <c r="G77" i="5" s="1"/>
  <c r="D26" i="1"/>
  <c r="D24" i="1" s="1"/>
  <c r="F4" i="60" s="1"/>
  <c r="E57" i="4"/>
  <c r="E119" i="4"/>
  <c r="D129" i="1"/>
  <c r="D127" i="1" s="1"/>
  <c r="D117" i="1" s="1"/>
  <c r="G8" i="5"/>
  <c r="E26" i="1"/>
  <c r="F57" i="4"/>
  <c r="E129" i="1"/>
  <c r="E127" i="1" s="1"/>
  <c r="E117" i="1" s="1"/>
  <c r="F119" i="4"/>
  <c r="E55" i="5"/>
  <c r="G55" i="5" s="1"/>
  <c r="G53" i="4"/>
  <c r="G59" i="5"/>
  <c r="F61" i="1"/>
  <c r="G47" i="4"/>
  <c r="G31" i="36"/>
  <c r="G10" i="17"/>
  <c r="G121" i="4"/>
  <c r="H34" i="7"/>
  <c r="G81" i="5"/>
  <c r="D104" i="5"/>
  <c r="D101" i="5" s="1"/>
  <c r="E165" i="7"/>
  <c r="F168" i="7"/>
  <c r="H167" i="7"/>
  <c r="L123" i="58"/>
  <c r="J201" i="58"/>
  <c r="L3" i="58"/>
  <c r="I29" i="27"/>
  <c r="D8" i="17"/>
  <c r="J17" i="4" s="1"/>
  <c r="D19" i="4"/>
  <c r="I28" i="13"/>
  <c r="G74" i="5"/>
  <c r="G46" i="17"/>
  <c r="H71" i="6"/>
  <c r="F58" i="1"/>
  <c r="H12" i="3"/>
  <c r="G37" i="4"/>
  <c r="E33" i="70"/>
  <c r="H33" i="70" s="1"/>
  <c r="C10" i="2"/>
  <c r="H18" i="3"/>
  <c r="C5" i="1"/>
  <c r="D86" i="5"/>
  <c r="D100" i="4"/>
  <c r="E131" i="7"/>
  <c r="E134" i="7" s="1"/>
  <c r="E135" i="7" s="1"/>
  <c r="E145" i="7" s="1"/>
  <c r="G18" i="5"/>
  <c r="C13" i="3"/>
  <c r="C16" i="3" s="1"/>
  <c r="D77" i="5"/>
  <c r="G19" i="17"/>
  <c r="G40" i="17"/>
  <c r="F50" i="1"/>
  <c r="F56" i="1"/>
  <c r="G43" i="4"/>
  <c r="G28" i="17"/>
  <c r="G50" i="17"/>
  <c r="F4" i="6"/>
  <c r="H15" i="6"/>
  <c r="G30" i="34"/>
  <c r="G17" i="34"/>
  <c r="G29" i="4"/>
  <c r="F36" i="1"/>
  <c r="G57" i="17"/>
  <c r="G23" i="17"/>
  <c r="G83" i="4"/>
  <c r="F25" i="1"/>
  <c r="E6" i="3"/>
  <c r="C150" i="1"/>
  <c r="C146" i="1" s="1"/>
  <c r="C152" i="1"/>
  <c r="F54" i="1"/>
  <c r="G36" i="5"/>
  <c r="F113" i="1"/>
  <c r="F13" i="1"/>
  <c r="L201" i="58" l="1"/>
  <c r="P201" i="58"/>
  <c r="R201" i="58" s="1"/>
  <c r="F69" i="5"/>
  <c r="L17" i="4"/>
  <c r="E7" i="5"/>
  <c r="K17" i="4"/>
  <c r="H144" i="6"/>
  <c r="G146" i="6"/>
  <c r="G148" i="6" s="1"/>
  <c r="E73" i="4"/>
  <c r="D66" i="1"/>
  <c r="D64" i="1" s="1"/>
  <c r="D20" i="2"/>
  <c r="F38" i="70" s="1"/>
  <c r="G88" i="5"/>
  <c r="H149" i="7"/>
  <c r="D100" i="1"/>
  <c r="F108" i="60" s="1"/>
  <c r="K139" i="60"/>
  <c r="F111" i="4"/>
  <c r="K130" i="60"/>
  <c r="I55" i="69"/>
  <c r="B32" i="70" s="1"/>
  <c r="AD28" i="69"/>
  <c r="AD55" i="69" s="1"/>
  <c r="B35" i="70" s="1"/>
  <c r="C28" i="3"/>
  <c r="C35" i="3"/>
  <c r="I57" i="60"/>
  <c r="I9" i="2"/>
  <c r="E86" i="1"/>
  <c r="G85" i="4"/>
  <c r="J75" i="60"/>
  <c r="I139" i="60"/>
  <c r="X17" i="70"/>
  <c r="AE33" i="69"/>
  <c r="G28" i="69"/>
  <c r="AF33" i="69"/>
  <c r="H28" i="69"/>
  <c r="G21" i="60"/>
  <c r="G20" i="60" s="1"/>
  <c r="C106" i="1"/>
  <c r="G12" i="3"/>
  <c r="E35" i="70"/>
  <c r="E16" i="3"/>
  <c r="F7" i="5"/>
  <c r="F17" i="4"/>
  <c r="E6" i="2" s="1"/>
  <c r="E14" i="1"/>
  <c r="G32" i="70"/>
  <c r="J32" i="70" s="1"/>
  <c r="E9" i="2"/>
  <c r="F21" i="60"/>
  <c r="F20" i="60" s="1"/>
  <c r="G61" i="60"/>
  <c r="G66" i="60" s="1"/>
  <c r="E26" i="2"/>
  <c r="G34" i="2"/>
  <c r="C34" i="2"/>
  <c r="C43" i="2" s="1"/>
  <c r="D72" i="5"/>
  <c r="H26" i="3"/>
  <c r="F133" i="60"/>
  <c r="F139" i="60" s="1"/>
  <c r="F32" i="70"/>
  <c r="I32" i="70" s="1"/>
  <c r="D9" i="2"/>
  <c r="G35" i="70"/>
  <c r="E8" i="2"/>
  <c r="E55" i="1"/>
  <c r="F35" i="70"/>
  <c r="D8" i="2"/>
  <c r="E63" i="1"/>
  <c r="E147" i="1" s="1"/>
  <c r="E148" i="1"/>
  <c r="H10" i="2"/>
  <c r="D89" i="1"/>
  <c r="G119" i="4"/>
  <c r="F72" i="5"/>
  <c r="G8" i="4"/>
  <c r="H139" i="6"/>
  <c r="H135" i="6"/>
  <c r="D13" i="3"/>
  <c r="D16" i="3" s="1"/>
  <c r="G57" i="4"/>
  <c r="E29" i="7"/>
  <c r="E26" i="7" s="1"/>
  <c r="D105" i="5" s="1"/>
  <c r="D117" i="4" s="1"/>
  <c r="D122" i="4" s="1"/>
  <c r="D17" i="17"/>
  <c r="F36" i="70"/>
  <c r="D57" i="1"/>
  <c r="E24" i="1"/>
  <c r="F26" i="1"/>
  <c r="E69" i="5"/>
  <c r="K78" i="4" s="1"/>
  <c r="E101" i="4"/>
  <c r="H13" i="3" s="1"/>
  <c r="E101" i="5"/>
  <c r="D17" i="1"/>
  <c r="E17" i="4"/>
  <c r="E115" i="1"/>
  <c r="G112" i="60" s="1"/>
  <c r="F98" i="4"/>
  <c r="I13" i="3" s="1"/>
  <c r="E93" i="1"/>
  <c r="F87" i="4"/>
  <c r="F8" i="1"/>
  <c r="F122" i="4"/>
  <c r="G28" i="4"/>
  <c r="G47" i="36"/>
  <c r="G27" i="4"/>
  <c r="F35" i="1"/>
  <c r="G69" i="4"/>
  <c r="G8" i="17"/>
  <c r="G91" i="4"/>
  <c r="D101" i="4"/>
  <c r="H168" i="7"/>
  <c r="G104" i="5"/>
  <c r="G82" i="4"/>
  <c r="G81" i="4"/>
  <c r="F83" i="1"/>
  <c r="C16" i="1"/>
  <c r="E30" i="60" s="1"/>
  <c r="E28" i="60" s="1"/>
  <c r="E77" i="60" s="1"/>
  <c r="D17" i="4"/>
  <c r="D55" i="4" s="1"/>
  <c r="E152" i="1"/>
  <c r="E150" i="1"/>
  <c r="F129" i="1"/>
  <c r="D87" i="4"/>
  <c r="D84" i="4" s="1"/>
  <c r="C93" i="1"/>
  <c r="C114" i="1"/>
  <c r="E87" i="60" s="1"/>
  <c r="G11" i="2"/>
  <c r="F85" i="1"/>
  <c r="G19" i="4"/>
  <c r="F40" i="1"/>
  <c r="G33" i="4"/>
  <c r="G55" i="17"/>
  <c r="G19" i="5"/>
  <c r="G67" i="4"/>
  <c r="H28" i="7"/>
  <c r="F26" i="7"/>
  <c r="H4" i="6"/>
  <c r="G45" i="17"/>
  <c r="G27" i="17"/>
  <c r="G18" i="17"/>
  <c r="F52" i="1"/>
  <c r="F51" i="1"/>
  <c r="G45" i="4"/>
  <c r="G46" i="4"/>
  <c r="I6" i="3"/>
  <c r="G105" i="4"/>
  <c r="K69" i="5" l="1"/>
  <c r="L78" i="4"/>
  <c r="D42" i="17"/>
  <c r="J78" i="4" s="1"/>
  <c r="J27" i="4"/>
  <c r="D63" i="1"/>
  <c r="D147" i="1" s="1"/>
  <c r="D148" i="1"/>
  <c r="F61" i="60"/>
  <c r="F66" i="60" s="1"/>
  <c r="D26" i="2"/>
  <c r="J139" i="60"/>
  <c r="I12" i="3"/>
  <c r="G111" i="4"/>
  <c r="E106" i="1"/>
  <c r="H35" i="70"/>
  <c r="H32" i="70"/>
  <c r="K66" i="60"/>
  <c r="AE28" i="69"/>
  <c r="AE55" i="69" s="1"/>
  <c r="G55" i="69"/>
  <c r="G84" i="60"/>
  <c r="F86" i="1"/>
  <c r="F57" i="1"/>
  <c r="F54" i="60"/>
  <c r="F57" i="60" s="1"/>
  <c r="J57" i="60" s="1"/>
  <c r="K57" i="60"/>
  <c r="E28" i="3"/>
  <c r="I34" i="2" s="1"/>
  <c r="AF28" i="69"/>
  <c r="AF55" i="69" s="1"/>
  <c r="H55" i="69"/>
  <c r="AA17" i="70"/>
  <c r="E34" i="2"/>
  <c r="E43" i="2" s="1"/>
  <c r="E35" i="3"/>
  <c r="D28" i="3"/>
  <c r="H34" i="2" s="1"/>
  <c r="D35" i="3"/>
  <c r="E105" i="5"/>
  <c r="E117" i="4" s="1"/>
  <c r="F239" i="7"/>
  <c r="H130" i="7"/>
  <c r="E112" i="1"/>
  <c r="E110" i="60"/>
  <c r="C99" i="1"/>
  <c r="E146" i="1"/>
  <c r="F44" i="4"/>
  <c r="F55" i="4"/>
  <c r="F78" i="4" s="1"/>
  <c r="F7" i="4"/>
  <c r="G31" i="70"/>
  <c r="G40" i="70" s="1"/>
  <c r="G101" i="4"/>
  <c r="E40" i="60"/>
  <c r="F31" i="70"/>
  <c r="F40" i="70" s="1"/>
  <c r="D6" i="2"/>
  <c r="D16" i="2" s="1"/>
  <c r="F24" i="1"/>
  <c r="G4" i="60"/>
  <c r="D34" i="2"/>
  <c r="D43" i="2" s="1"/>
  <c r="E16" i="2"/>
  <c r="D104" i="4"/>
  <c r="D14" i="1"/>
  <c r="D4" i="1" s="1"/>
  <c r="F31" i="60"/>
  <c r="F28" i="60" s="1"/>
  <c r="F77" i="60" s="1"/>
  <c r="D55" i="1"/>
  <c r="F55" i="1" s="1"/>
  <c r="D87" i="1"/>
  <c r="E80" i="4"/>
  <c r="E55" i="4"/>
  <c r="E78" i="4" s="1"/>
  <c r="K80" i="4" s="1"/>
  <c r="E44" i="4"/>
  <c r="E7" i="4"/>
  <c r="E89" i="1"/>
  <c r="F89" i="1" s="1"/>
  <c r="F84" i="4"/>
  <c r="I10" i="2" s="1"/>
  <c r="I16" i="2" s="1"/>
  <c r="E47" i="2" s="1"/>
  <c r="E55" i="2" s="1"/>
  <c r="D115" i="1"/>
  <c r="F112" i="60" s="1"/>
  <c r="E4" i="1"/>
  <c r="F5" i="1"/>
  <c r="G51" i="4"/>
  <c r="F84" i="1"/>
  <c r="F34" i="1"/>
  <c r="G42" i="17"/>
  <c r="F93" i="1"/>
  <c r="G87" i="4"/>
  <c r="C115" i="1"/>
  <c r="E112" i="60" s="1"/>
  <c r="D98" i="4"/>
  <c r="G13" i="3"/>
  <c r="G16" i="3" s="1"/>
  <c r="C6" i="2"/>
  <c r="E31" i="70"/>
  <c r="D7" i="4"/>
  <c r="D44" i="4"/>
  <c r="D78" i="4"/>
  <c r="G37" i="2" s="1"/>
  <c r="C14" i="1"/>
  <c r="C4" i="1" s="1"/>
  <c r="C59" i="1" s="1"/>
  <c r="C80" i="1" s="1"/>
  <c r="F127" i="1"/>
  <c r="D152" i="1"/>
  <c r="F152" i="1" s="1"/>
  <c r="G62" i="17"/>
  <c r="F16" i="1"/>
  <c r="D80" i="4"/>
  <c r="D103" i="4" s="1"/>
  <c r="C89" i="1"/>
  <c r="H26" i="7"/>
  <c r="G20" i="4"/>
  <c r="H87" i="6"/>
  <c r="F91" i="6"/>
  <c r="G66" i="4"/>
  <c r="G7" i="5"/>
  <c r="G16" i="5"/>
  <c r="G17" i="17"/>
  <c r="F100" i="1"/>
  <c r="D59" i="1" l="1"/>
  <c r="D80" i="1" s="1"/>
  <c r="G40" i="60"/>
  <c r="G77" i="60"/>
  <c r="E59" i="1"/>
  <c r="E80" i="1" s="1"/>
  <c r="E114" i="60"/>
  <c r="I114" i="60" s="1"/>
  <c r="L80" i="4"/>
  <c r="N80" i="4" s="1"/>
  <c r="N81" i="4" s="1"/>
  <c r="N75" i="4"/>
  <c r="J80" i="4"/>
  <c r="J66" i="60"/>
  <c r="I37" i="2"/>
  <c r="H37" i="2"/>
  <c r="G110" i="60"/>
  <c r="F106" i="1"/>
  <c r="F40" i="60"/>
  <c r="J40" i="60" s="1"/>
  <c r="E27" i="2"/>
  <c r="K40" i="60"/>
  <c r="D27" i="2"/>
  <c r="J31" i="70"/>
  <c r="G28" i="3"/>
  <c r="G48" i="2" s="1"/>
  <c r="C48" i="2"/>
  <c r="C58" i="2" s="1"/>
  <c r="F115" i="1"/>
  <c r="D82" i="1"/>
  <c r="F85" i="60"/>
  <c r="D33" i="2"/>
  <c r="E33" i="2"/>
  <c r="E40" i="2" s="1"/>
  <c r="I31" i="70"/>
  <c r="E87" i="1"/>
  <c r="F80" i="4"/>
  <c r="E122" i="4"/>
  <c r="G76" i="4"/>
  <c r="G56" i="4"/>
  <c r="C112" i="1"/>
  <c r="G29" i="3"/>
  <c r="C29" i="3"/>
  <c r="D118" i="4"/>
  <c r="C16" i="2"/>
  <c r="H31" i="70"/>
  <c r="E40" i="70"/>
  <c r="D150" i="1"/>
  <c r="F117" i="1"/>
  <c r="C87" i="1"/>
  <c r="G10" i="2"/>
  <c r="G16" i="2" s="1"/>
  <c r="G69" i="5"/>
  <c r="G61" i="5"/>
  <c r="F98" i="6"/>
  <c r="H91" i="6"/>
  <c r="G17" i="4"/>
  <c r="G44" i="4"/>
  <c r="F17" i="1"/>
  <c r="G105" i="5"/>
  <c r="K77" i="60" l="1"/>
  <c r="C47" i="2"/>
  <c r="C55" i="2" s="1"/>
  <c r="J77" i="60"/>
  <c r="I33" i="2"/>
  <c r="I35" i="2" s="1"/>
  <c r="G144" i="60" s="1"/>
  <c r="G145" i="60" s="1"/>
  <c r="H33" i="2"/>
  <c r="H35" i="2" s="1"/>
  <c r="H39" i="2" s="1"/>
  <c r="C27" i="2"/>
  <c r="I77" i="60" s="1"/>
  <c r="I40" i="60"/>
  <c r="C33" i="2"/>
  <c r="C35" i="2" s="1"/>
  <c r="E82" i="1"/>
  <c r="G85" i="60"/>
  <c r="G88" i="60" s="1"/>
  <c r="K88" i="60" s="1"/>
  <c r="E35" i="2"/>
  <c r="I28" i="2"/>
  <c r="E28" i="2"/>
  <c r="F103" i="4"/>
  <c r="I27" i="2"/>
  <c r="I47" i="2" s="1"/>
  <c r="D146" i="1"/>
  <c r="F146" i="1" s="1"/>
  <c r="F150" i="1"/>
  <c r="G28" i="2"/>
  <c r="C28" i="2"/>
  <c r="G27" i="2"/>
  <c r="C82" i="1"/>
  <c r="C116" i="1" s="1"/>
  <c r="E85" i="60"/>
  <c r="E88" i="60" s="1"/>
  <c r="E141" i="60" s="1"/>
  <c r="G96" i="4"/>
  <c r="F146" i="6"/>
  <c r="F148" i="6" s="1"/>
  <c r="H98" i="6"/>
  <c r="F14" i="1"/>
  <c r="G7" i="4"/>
  <c r="G55" i="4"/>
  <c r="I39" i="2" l="1"/>
  <c r="I88" i="60"/>
  <c r="G33" i="2"/>
  <c r="G35" i="2" s="1"/>
  <c r="H80" i="1" s="1"/>
  <c r="J80" i="1"/>
  <c r="F144" i="60"/>
  <c r="F145" i="60" s="1"/>
  <c r="I80" i="1"/>
  <c r="C40" i="2"/>
  <c r="C49" i="2"/>
  <c r="G47" i="2"/>
  <c r="G49" i="2" s="1"/>
  <c r="E147" i="60" s="1"/>
  <c r="E148" i="60" s="1"/>
  <c r="C138" i="1"/>
  <c r="C142" i="1"/>
  <c r="D124" i="4"/>
  <c r="K118" i="4"/>
  <c r="G78" i="4"/>
  <c r="F4" i="1"/>
  <c r="H148" i="6"/>
  <c r="H146" i="6"/>
  <c r="G84" i="4"/>
  <c r="G122" i="4"/>
  <c r="G39" i="2" l="1"/>
  <c r="E144" i="60"/>
  <c r="E145" i="60" s="1"/>
  <c r="I138" i="1"/>
  <c r="E30" i="70"/>
  <c r="H30" i="70" s="1"/>
  <c r="G51" i="2"/>
  <c r="G53" i="2" s="1"/>
  <c r="D35" i="2"/>
  <c r="D40" i="2"/>
  <c r="C131" i="4"/>
  <c r="F87" i="1"/>
  <c r="G80" i="4"/>
  <c r="F59" i="1"/>
  <c r="F80" i="1" l="1"/>
  <c r="F82" i="1"/>
  <c r="J4" i="40"/>
  <c r="J3" i="40" s="1"/>
  <c r="J2" i="40" l="1"/>
  <c r="J112" i="40" s="1"/>
  <c r="F133" i="7" s="1"/>
  <c r="C17" i="70" l="1"/>
  <c r="F17" i="70" s="1"/>
  <c r="F131" i="7" l="1"/>
  <c r="E86" i="5" s="1"/>
  <c r="E72" i="5" s="1"/>
  <c r="G72" i="5" s="1"/>
  <c r="E100" i="4"/>
  <c r="H11" i="2" s="1"/>
  <c r="H16" i="2" s="1"/>
  <c r="D47" i="2" s="1"/>
  <c r="D55" i="2" s="1"/>
  <c r="H133" i="7"/>
  <c r="W17" i="70"/>
  <c r="G101" i="5"/>
  <c r="Z17" i="70" l="1"/>
  <c r="H131" i="7"/>
  <c r="F134" i="7"/>
  <c r="F135" i="7" s="1"/>
  <c r="F145" i="7" s="1"/>
  <c r="G100" i="4"/>
  <c r="H27" i="2"/>
  <c r="H47" i="2" s="1"/>
  <c r="E103" i="4"/>
  <c r="G103" i="4" s="1"/>
  <c r="D114" i="1"/>
  <c r="F87" i="60" s="1"/>
  <c r="F88" i="60" s="1"/>
  <c r="J88" i="60" s="1"/>
  <c r="D28" i="2"/>
  <c r="H28" i="2"/>
  <c r="E98" i="4"/>
  <c r="G98" i="4" s="1"/>
  <c r="H135" i="7" l="1"/>
  <c r="H134" i="7"/>
  <c r="D112" i="1"/>
  <c r="F112" i="1" s="1"/>
  <c r="F114" i="1"/>
  <c r="P103" i="4"/>
  <c r="H145" i="7"/>
  <c r="E4" i="57"/>
  <c r="E28" i="57"/>
  <c r="F148" i="7"/>
  <c r="C19" i="70" s="1"/>
  <c r="F19" i="70" l="1"/>
  <c r="C25" i="70"/>
  <c r="C30" i="70" s="1"/>
  <c r="E89" i="5"/>
  <c r="F164" i="7"/>
  <c r="F169" i="7" s="1"/>
  <c r="F177" i="7" s="1"/>
  <c r="F238" i="7" s="1"/>
  <c r="F240" i="7" s="1"/>
  <c r="W19" i="70" l="1"/>
  <c r="F25" i="70"/>
  <c r="E87" i="5"/>
  <c r="E106" i="5" s="1"/>
  <c r="E111" i="5" s="1"/>
  <c r="E121" i="5" s="1"/>
  <c r="E106" i="4"/>
  <c r="J105" i="4" s="1"/>
  <c r="W25" i="70" l="1"/>
  <c r="C35" i="70" s="1"/>
  <c r="Z19" i="70"/>
  <c r="Z25" i="70" s="1"/>
  <c r="C36" i="70" s="1"/>
  <c r="P105" i="4"/>
  <c r="H7" i="3"/>
  <c r="K6" i="3" s="1"/>
  <c r="E104" i="4"/>
  <c r="E118" i="4" s="1"/>
  <c r="E124" i="4" s="1"/>
  <c r="D101" i="1"/>
  <c r="I36" i="70" l="1"/>
  <c r="C40" i="70"/>
  <c r="I40" i="70" s="1"/>
  <c r="I35" i="70"/>
  <c r="H16" i="3"/>
  <c r="H29" i="3" s="1"/>
  <c r="D99" i="1"/>
  <c r="D116" i="1" s="1"/>
  <c r="D138" i="1" s="1"/>
  <c r="F109" i="60"/>
  <c r="F114" i="60" s="1"/>
  <c r="F141" i="60" s="1"/>
  <c r="H51" i="2"/>
  <c r="F30" i="70"/>
  <c r="I30" i="70" s="1"/>
  <c r="D29" i="3" l="1"/>
  <c r="H28" i="3"/>
  <c r="H48" i="2" s="1"/>
  <c r="H49" i="2" s="1"/>
  <c r="D48" i="2"/>
  <c r="D58" i="2" s="1"/>
  <c r="D60" i="2" s="1"/>
  <c r="J114" i="60"/>
  <c r="D142" i="1"/>
  <c r="H28" i="57"/>
  <c r="H4" i="57"/>
  <c r="N19" i="70" s="1"/>
  <c r="Y19" i="70" l="1"/>
  <c r="Y25" i="70" s="1"/>
  <c r="B36" i="70" s="1"/>
  <c r="H36" i="70" s="1"/>
  <c r="N25" i="70"/>
  <c r="B34" i="70" s="1"/>
  <c r="E148" i="7"/>
  <c r="D89" i="5" s="1"/>
  <c r="F31" i="57"/>
  <c r="H53" i="2"/>
  <c r="F147" i="60"/>
  <c r="F148" i="60" s="1"/>
  <c r="D49" i="2"/>
  <c r="J138" i="1"/>
  <c r="L16" i="57"/>
  <c r="L4" i="57"/>
  <c r="H34" i="70" l="1"/>
  <c r="B40" i="70"/>
  <c r="H40" i="70" s="1"/>
  <c r="E164" i="7"/>
  <c r="E169" i="7" s="1"/>
  <c r="E177" i="7" s="1"/>
  <c r="E238" i="7" s="1"/>
  <c r="E240" i="7" s="1"/>
  <c r="D87" i="5"/>
  <c r="D106" i="5" s="1"/>
  <c r="D111" i="5" s="1"/>
  <c r="G148" i="7"/>
  <c r="D19" i="70" s="1"/>
  <c r="L28" i="57"/>
  <c r="G19" i="70" l="1"/>
  <c r="X19" i="70" s="1"/>
  <c r="D25" i="70"/>
  <c r="D30" i="70" s="1"/>
  <c r="F89" i="5"/>
  <c r="G164" i="7"/>
  <c r="H148" i="7"/>
  <c r="X25" i="70" l="1"/>
  <c r="D35" i="70" s="1"/>
  <c r="G25" i="70"/>
  <c r="H164" i="7"/>
  <c r="G169" i="7"/>
  <c r="G89" i="5"/>
  <c r="F106" i="4"/>
  <c r="F87" i="5"/>
  <c r="J35" i="70" l="1"/>
  <c r="AA19" i="70"/>
  <c r="AA25" i="70" s="1"/>
  <c r="G177" i="7"/>
  <c r="H169" i="7"/>
  <c r="G106" i="4"/>
  <c r="I7" i="3"/>
  <c r="K105" i="4"/>
  <c r="L105" i="4" s="1"/>
  <c r="F104" i="4"/>
  <c r="E101" i="1"/>
  <c r="G109" i="60" s="1"/>
  <c r="G114" i="60" s="1"/>
  <c r="G141" i="60" s="1"/>
  <c r="G87" i="5"/>
  <c r="F106" i="5"/>
  <c r="I16" i="3" l="1"/>
  <c r="K114" i="60" s="1"/>
  <c r="L6" i="3"/>
  <c r="M6" i="3" s="1"/>
  <c r="F101" i="1"/>
  <c r="E99" i="1"/>
  <c r="F111" i="5"/>
  <c r="K112" i="5" s="1"/>
  <c r="G106" i="5"/>
  <c r="G104" i="4"/>
  <c r="F118" i="4"/>
  <c r="H177" i="7"/>
  <c r="G238" i="7"/>
  <c r="E48" i="2" l="1"/>
  <c r="E58" i="2" s="1"/>
  <c r="E60" i="2" s="1"/>
  <c r="I28" i="3"/>
  <c r="I48" i="2" s="1"/>
  <c r="I49" i="2" s="1"/>
  <c r="G147" i="60" s="1"/>
  <c r="G148" i="60" s="1"/>
  <c r="E29" i="3"/>
  <c r="I29" i="3"/>
  <c r="G111" i="5"/>
  <c r="F121" i="5"/>
  <c r="E116" i="1"/>
  <c r="E138" i="1" s="1"/>
  <c r="F99" i="1"/>
  <c r="F124" i="4"/>
  <c r="K124" i="4" s="1"/>
  <c r="G118" i="4"/>
  <c r="H238" i="7"/>
  <c r="G240" i="7"/>
  <c r="H240" i="7" s="1"/>
  <c r="E49" i="2" l="1"/>
  <c r="I51" i="2"/>
  <c r="I53" i="2" s="1"/>
  <c r="G30" i="70"/>
  <c r="J30" i="70" s="1"/>
  <c r="F116" i="1"/>
  <c r="E142" i="1"/>
  <c r="F142" i="1" s="1"/>
  <c r="K138" i="1"/>
  <c r="G124" i="4"/>
  <c r="F138" i="1" l="1"/>
  <c r="G28" i="57"/>
  <c r="G4" i="57"/>
  <c r="D36" i="70" l="1"/>
  <c r="D40" i="70" s="1"/>
  <c r="J40" i="70" l="1"/>
  <c r="J36" i="70"/>
</calcChain>
</file>

<file path=xl/sharedStrings.xml><?xml version="1.0" encoding="utf-8"?>
<sst xmlns="http://schemas.openxmlformats.org/spreadsheetml/2006/main" count="7107" uniqueCount="2474">
  <si>
    <t>Sorszám</t>
  </si>
  <si>
    <t>jogcím</t>
  </si>
  <si>
    <t>%</t>
  </si>
  <si>
    <t xml:space="preserve">B E V É T E L E K </t>
  </si>
  <si>
    <t>1.</t>
  </si>
  <si>
    <t>2.</t>
  </si>
  <si>
    <t>2.1.</t>
  </si>
  <si>
    <t>Helyi adók</t>
  </si>
  <si>
    <t>2.2.</t>
  </si>
  <si>
    <t>Illetékek</t>
  </si>
  <si>
    <t>2.3.</t>
  </si>
  <si>
    <t>Átengedett központi adók</t>
  </si>
  <si>
    <t>2.4.</t>
  </si>
  <si>
    <t>Bírságok, díjak, pótlékok</t>
  </si>
  <si>
    <t>2.5.</t>
  </si>
  <si>
    <t>Egyéb sajátos bevételek</t>
  </si>
  <si>
    <t>2.6.</t>
  </si>
  <si>
    <t>Egyéb fizetési kötelezettségből származó bevételek</t>
  </si>
  <si>
    <t>2.7.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</si>
  <si>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</si>
  <si>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</si>
  <si>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</si>
  <si>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</si>
  <si>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</si>
  <si>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</si>
  <si>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</si>
  <si>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</si>
  <si>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</si>
  <si>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</si>
  <si>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</si>
  <si>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</si>
  <si>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</si>
  <si>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</si>
  <si>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</si>
  <si>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</si>
  <si>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</si>
  <si>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</si>
  <si>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>II. Közhatalmi bevételek</t>
  </si>
  <si>
    <t>5.</t>
  </si>
  <si>
    <t>5.1.</t>
  </si>
  <si>
    <t>5.2.</t>
  </si>
  <si>
    <t>Felhasználási kötöttséggel járó normatív támogatás</t>
  </si>
  <si>
    <t>Központosított előirányzatok</t>
  </si>
  <si>
    <t>Kiegészítő támogatás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</si>
  <si>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</si>
  <si>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</si>
  <si>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</si>
  <si>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</si>
  <si>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</t>
  </si>
  <si>
    <t>6.1.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</si>
  <si>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</si>
  <si>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</si>
  <si>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</si>
  <si>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</si>
  <si>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</si>
  <si>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kistérségi társulástól, jogi személyiségű társulástól átvett pénzeszköz</t>
  </si>
  <si>
    <t>6.1.4.</t>
  </si>
  <si>
    <t>EU támogatás</t>
  </si>
  <si>
    <t>6.1.5.</t>
  </si>
  <si>
    <t>Egyéb működési célú támogatásértékű bevétel</t>
  </si>
  <si>
    <t>6.1.6.</t>
  </si>
  <si>
    <t>Központi költségvetéstől támogatásértékű bevétel</t>
  </si>
  <si>
    <t>6.2.</t>
  </si>
  <si>
    <t>6.2.1.</t>
  </si>
  <si>
    <t>6.2.2.</t>
  </si>
  <si>
    <t>6.2.3.</t>
  </si>
  <si>
    <t>6.2.4.</t>
  </si>
  <si>
    <t>6.2.5.</t>
  </si>
  <si>
    <t>Egyéb felhalmozási célú támogatásértékű bevétel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</si>
  <si>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</si>
  <si>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</si>
  <si>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</si>
  <si>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</si>
  <si>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Pénzügyi befektetésekből származó bevétel</t>
  </si>
  <si>
    <t>8.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</si>
  <si>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</si>
  <si>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</si>
  <si>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</si>
  <si>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</si>
  <si>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>10.</t>
  </si>
  <si>
    <t>11.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</si>
  <si>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</si>
  <si>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</si>
  <si>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</si>
  <si>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</si>
  <si>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12.</t>
  </si>
  <si>
    <t>12.1.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</si>
  <si>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</si>
  <si>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</si>
  <si>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</si>
  <si>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</si>
  <si>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</si>
  <si>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működési, finanszírozási célú bevétel</t>
  </si>
  <si>
    <t>12.2.</t>
  </si>
  <si>
    <t>Rövid lejáratú hitelek felvétele</t>
  </si>
  <si>
    <t>Hosszú lejáratú hitelek felvétele</t>
  </si>
  <si>
    <t>Befektetési célú belföldi, külföldi értékpapírok kibocsátása, értékesítése</t>
  </si>
  <si>
    <t>Egyéb felhalmozási finanszírozási célú bevétel</t>
  </si>
  <si>
    <t>13.</t>
  </si>
  <si>
    <t>14.</t>
  </si>
  <si>
    <t>K I A D Á S O K</t>
  </si>
  <si>
    <r>
      <t xml:space="preserve">I. Működési költségvetés kiadásai </t>
    </r>
    <r>
      <rPr>
        <sz val="11"/>
        <rFont val="Times New Roman CE"/>
        <family val="1"/>
        <charset val="238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</si>
  <si>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</si>
  <si>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</si>
  <si>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</si>
  <si>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</si>
  <si>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</si>
  <si>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</si>
  <si>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</si>
  <si>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</si>
  <si>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</si>
  <si>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</si>
  <si>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1.5.1</t>
  </si>
  <si>
    <t>Egyéb működési célú kiadások Intézmények</t>
  </si>
  <si>
    <t>1.5.2</t>
  </si>
  <si>
    <t>Egyéb működési célú kiadások Önkormányzat</t>
  </si>
  <si>
    <t>1.5.2.1.</t>
  </si>
  <si>
    <t xml:space="preserve"> Lakosságnak juttatott támogatások</t>
  </si>
  <si>
    <t>1.5.2.1.1.</t>
  </si>
  <si>
    <t>Szociális, rászorultság jellegű ellátások</t>
  </si>
  <si>
    <t>1.5.2.2.</t>
  </si>
  <si>
    <t>Működési célú pénzmaradvány átadás</t>
  </si>
  <si>
    <t>1.5.2.3.</t>
  </si>
  <si>
    <t>Működési célú pénzeszköz átadás államháztartáson kívülre</t>
  </si>
  <si>
    <t>1.5.2.4.</t>
  </si>
  <si>
    <t>Működési célú támogatásértékű kiadás</t>
  </si>
  <si>
    <t>1.5.2.5.</t>
  </si>
  <si>
    <t>Garancia és kezességvállalásból származó kifizetés</t>
  </si>
  <si>
    <t>1.5.2.6.</t>
  </si>
  <si>
    <t>Kamatkiadások</t>
  </si>
  <si>
    <t>1.5.2.7.</t>
  </si>
  <si>
    <t>Pénzforgalom nélküli kiadások</t>
  </si>
  <si>
    <r>
      <t xml:space="preserve">II. Felhalmozási költségvetés kiadásai </t>
    </r>
    <r>
      <rPr>
        <sz val="11"/>
        <rFont val="Times New Roman CE"/>
        <family val="1"/>
        <charset val="238"/>
      </rPr>
      <t>(2.1+…+2.7)</t>
    </r>
  </si>
  <si>
    <t>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</si>
  <si>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</si>
  <si>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</si>
  <si>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</si>
  <si>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</si>
  <si>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</si>
  <si>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</si>
  <si>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2.7.1.</t>
  </si>
  <si>
    <t>Felhalmozási célú pénzmaradvány átadás</t>
  </si>
  <si>
    <t>2.7.2.</t>
  </si>
  <si>
    <t>Felhalmozási célú pénzeszközátadás államháztartáson kívülre</t>
  </si>
  <si>
    <t>2.7.3.</t>
  </si>
  <si>
    <t>Felhalmozási célú támogatásértékű kiadás</t>
  </si>
  <si>
    <t>2.7.4.</t>
  </si>
  <si>
    <t>Pénzügyi befektetések kiadásai</t>
  </si>
  <si>
    <t>III. Kölcsön (munkavállalónak adott kölcsön)</t>
  </si>
  <si>
    <t>4.</t>
  </si>
  <si>
    <r>
      <t xml:space="preserve">IV. Tartalékok </t>
    </r>
    <r>
      <rPr>
        <sz val="11"/>
        <rFont val="Times New Roman CE"/>
        <family val="1"/>
        <charset val="238"/>
      </rPr>
      <t>(4.1.+4.2.)</t>
    </r>
  </si>
  <si>
    <t>4.1</t>
  </si>
  <si>
    <t>Általános tartalék</t>
  </si>
  <si>
    <t>4.2</t>
  </si>
  <si>
    <t>Működési céltartalék</t>
  </si>
  <si>
    <t>4.3</t>
  </si>
  <si>
    <t>Felhalmozási céltartalék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</si>
  <si>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</si>
  <si>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</si>
  <si>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</si>
  <si>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</si>
  <si>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</si>
  <si>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</si>
  <si>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</si>
  <si>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</si>
  <si>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</si>
  <si>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</si>
  <si>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</si>
  <si>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</si>
  <si>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</si>
  <si>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</si>
  <si>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</si>
  <si>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</si>
  <si>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</si>
  <si>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</si>
  <si>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</si>
  <si>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</si>
  <si>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>VII. Kiegyenlítő-, függő-, átfutó kiadások</t>
  </si>
  <si>
    <t>7.</t>
  </si>
  <si>
    <t xml:space="preserve"> KIADÁSOK ÖSSZESEN: (5+6)</t>
  </si>
  <si>
    <t>KÖLTSÉGVETÉSI BEVÉTELEK ÉS KIADÁSOK EGYENLEGE</t>
  </si>
  <si>
    <t>Költségvetési hiány, többlet ( költségvetési bevételek 10. sor - költségvetési kiadások 5. sor) (+/-)</t>
  </si>
  <si>
    <t>FINANSZÍROZÁSI CÉLÚ PÉNZÜGYI BEVÉTELEK ÉS KIADÁSOK EGYENLEGE</t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</si>
  <si>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</si>
  <si>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</si>
  <si>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</si>
  <si>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</si>
  <si>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Felhalmozási célú pénzügyi műveletek bevételei (1. mell. 1. sz. tábl. 12.2. sor)</t>
  </si>
  <si>
    <t>Finanszírozási célú pénzügyi műv. kiadásai           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</si>
  <si>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</si>
  <si>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</si>
  <si>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</si>
  <si>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</si>
  <si>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t xml:space="preserve"> Működési célú bevételek és kiadások mérlege
(Önkormányzati szinten)</t>
  </si>
  <si>
    <t>Ezer Ft</t>
  </si>
  <si>
    <t>Sor-
szám</t>
  </si>
  <si>
    <t>Bevételek</t>
  </si>
  <si>
    <t>Kiadások</t>
  </si>
  <si>
    <t>Megnevezés</t>
  </si>
  <si>
    <t>Személyi juttatások</t>
  </si>
  <si>
    <t>Közhatalmi bevételek</t>
  </si>
  <si>
    <t>Dologi kiadások</t>
  </si>
  <si>
    <t>Tartalékok</t>
  </si>
  <si>
    <t>Működési célú pénzeszközátvétel államháztartáson kívülről</t>
  </si>
  <si>
    <t>Működési célú kölcsön visszatérítése, igénybevétele</t>
  </si>
  <si>
    <t>9.</t>
  </si>
  <si>
    <t>Kapott kölcsön, nyújtott kölcsön visszatér.</t>
  </si>
  <si>
    <t>Költségvetési bevételek összesen:</t>
  </si>
  <si>
    <t>Költségvetési kiadások összesen:</t>
  </si>
  <si>
    <t>Előző évi műk. célú pénzm. igénybev.</t>
  </si>
  <si>
    <t>15.</t>
  </si>
  <si>
    <t>Előző évi váll. maradv. igénybev.</t>
  </si>
  <si>
    <t>16.</t>
  </si>
  <si>
    <t>Rövid lejáratú hitelek tölresztése</t>
  </si>
  <si>
    <t>17.</t>
  </si>
  <si>
    <t>18.</t>
  </si>
  <si>
    <t>Forgatási célú belf., külf. értékpapírok kibocsátása, értékesítése</t>
  </si>
  <si>
    <t>19.</t>
  </si>
  <si>
    <t>Befektetési célú belf., külf. értékpapírok vásárlása</t>
  </si>
  <si>
    <t>20.</t>
  </si>
  <si>
    <t>Egyéb működési finanszírozási célú bevétel</t>
  </si>
  <si>
    <t>21.</t>
  </si>
  <si>
    <t>22.</t>
  </si>
  <si>
    <t xml:space="preserve">Egyéb </t>
  </si>
  <si>
    <t>23.</t>
  </si>
  <si>
    <t>24.</t>
  </si>
  <si>
    <t>Finanszírozási célú kiadások (14+…+24)</t>
  </si>
  <si>
    <t>25.</t>
  </si>
  <si>
    <t>KIADÁSOK ÖSSZESEN (13+25)</t>
  </si>
  <si>
    <t>26.</t>
  </si>
  <si>
    <t>Költségvetési hiány:</t>
  </si>
  <si>
    <t>Költségvetési többlet:</t>
  </si>
  <si>
    <t>működési bevételek összesen:</t>
  </si>
  <si>
    <t>felhalmozási bevétlek összesen:</t>
  </si>
  <si>
    <t>összes bevétel:</t>
  </si>
  <si>
    <t>2. sz melléklet szerint bevétel össz.</t>
  </si>
  <si>
    <t>különbözet:</t>
  </si>
  <si>
    <t>működési kiadások összesen:</t>
  </si>
  <si>
    <t>felhalmozási kiadások összesen:</t>
  </si>
  <si>
    <t>összes kiadás:</t>
  </si>
  <si>
    <t>2. sz melléklet szerint kiadás össz.</t>
  </si>
  <si>
    <t xml:space="preserve"> Felhalmozási célú bevételek és kiadások mérlege
(Önkormányzati szinten)</t>
  </si>
  <si>
    <t xml:space="preserve"> Ezer Ft</t>
  </si>
  <si>
    <t>Tárgyi eszközök, immateriális javak értékesítése</t>
  </si>
  <si>
    <t>Vagyoni értékű jogok értékesítése, hasznosítása</t>
  </si>
  <si>
    <t>Egyéb központi támogatás</t>
  </si>
  <si>
    <t>EU-s forrásból finansz. támogatással megv. progr., projektek kiadásai</t>
  </si>
  <si>
    <t>Központosított előirányzatokból támogatás</t>
  </si>
  <si>
    <t>EU-s forrásból finansz., önkormányzati hozzájáurlásának kiadásai</t>
  </si>
  <si>
    <t>Átvett pénzeszközök államháztartáson kívülről</t>
  </si>
  <si>
    <t>EU-s támogatásból származó forrás</t>
  </si>
  <si>
    <t>Előző évi felh. célú pénzm. igénybev.</t>
  </si>
  <si>
    <t>Hitelek törlesztése és kamatai</t>
  </si>
  <si>
    <t>Befektetési célú belföldi, külföldi értékpapírok kibocsátása, érték.</t>
  </si>
  <si>
    <t>Finansírozási célú kiad. (12+...+21)</t>
  </si>
  <si>
    <t>KIADÁSOK ÖSSZESEN (11+22)</t>
  </si>
  <si>
    <t>megnevezése</t>
  </si>
  <si>
    <t>Vecsés Város Önkormányzat és Intézményei</t>
  </si>
  <si>
    <t>Feladat megnevezése</t>
  </si>
  <si>
    <t>összesen</t>
  </si>
  <si>
    <t>Száma</t>
  </si>
  <si>
    <t>Előirányzat-csoport, kiemelt előirányzat megnevezése</t>
  </si>
  <si>
    <t>Előirányzat</t>
  </si>
  <si>
    <t>Módosított Előirányzat</t>
  </si>
  <si>
    <t>Teljesítés</t>
  </si>
  <si>
    <t>I. Önkormányzatok működési bevételei</t>
  </si>
  <si>
    <t>Kezességvállalással kapcsolatos megtérülés</t>
  </si>
  <si>
    <t>Egyéb sajátos bevétel</t>
  </si>
  <si>
    <t>Egyéb támogatás, kiegészítés</t>
  </si>
  <si>
    <t>Többcélú kist. társulástól, jogi szem. társulástól átvett pénzeszköz</t>
  </si>
  <si>
    <t>Támogatásértékű mükődési bevétel /Int.-nek Állami tám./</t>
  </si>
  <si>
    <t>Működési célú pénzügyi műveletek bevételei</t>
  </si>
  <si>
    <t>különbözet</t>
  </si>
  <si>
    <t>Felhalmozási célú pénzügyi műveletek bevételei</t>
  </si>
  <si>
    <t>VII. Önkormányzati támogatás</t>
  </si>
  <si>
    <t>Társadalom,szoc.pol.és egyéb juttatások tám.</t>
  </si>
  <si>
    <t>1.6</t>
  </si>
  <si>
    <t>Mükődési céltartalék</t>
  </si>
  <si>
    <t>EU-s forrásból finansz. támogatással megv. pr., projektek önk. hozzájárulásának kiadásai</t>
  </si>
  <si>
    <t>4.1.</t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</si>
  <si>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</si>
  <si>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</si>
  <si>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</si>
  <si>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</si>
  <si>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Működési célú pénzügyi műveletek kiadásai</t>
  </si>
  <si>
    <t>Felhalmozási célú pénzügyi műveletek kiadásai</t>
  </si>
  <si>
    <t>VII. Halmozódás kiszűrése</t>
  </si>
  <si>
    <t>VIII. Függő,átfutó,kiegyenlítő kiadások</t>
  </si>
  <si>
    <t>KIADÁSOK ÖSSZESEN: (6+7)</t>
  </si>
  <si>
    <t>Éves engedélyezett létszám előirányzat (fő)</t>
  </si>
  <si>
    <t>Közfoglalkoztatottak létszáma (fő)</t>
  </si>
  <si>
    <t>Vecsés Város Önkormányzat</t>
  </si>
  <si>
    <t>I/2. Önkormányzat működési bevételek (3.1.+…+3.8.)</t>
  </si>
  <si>
    <r>
      <t xml:space="preserve">I. Működési költségvetés kiadásai </t>
    </r>
    <r>
      <rPr>
        <sz val="8"/>
        <rFont val="Times New Roman CE"/>
        <family val="1"/>
        <charset val="238"/>
      </rPr>
      <t>(1.1+…+1.5.)</t>
    </r>
  </si>
  <si>
    <t>Lakosságnak juttatott támogatások</t>
  </si>
  <si>
    <t>1.5.3</t>
  </si>
  <si>
    <t>1.5.4</t>
  </si>
  <si>
    <t>1.5.5</t>
  </si>
  <si>
    <t>1.5.6</t>
  </si>
  <si>
    <t>1.5.7</t>
  </si>
  <si>
    <t>1.5.8</t>
  </si>
  <si>
    <r>
      <t xml:space="preserve">II. Felhalmozási költségvetés kiadásai </t>
    </r>
    <r>
      <rPr>
        <sz val="8"/>
        <rFont val="Times New Roman CE"/>
        <family val="1"/>
        <charset val="238"/>
      </rPr>
      <t>(2.1+…+2.7)</t>
    </r>
  </si>
  <si>
    <t>2.1</t>
  </si>
  <si>
    <t>beruházási kiadások</t>
  </si>
  <si>
    <t>2.2</t>
  </si>
  <si>
    <t>2.3</t>
  </si>
  <si>
    <t>2.4</t>
  </si>
  <si>
    <t>2.5</t>
  </si>
  <si>
    <t>2.6</t>
  </si>
  <si>
    <t>2.7</t>
  </si>
  <si>
    <t>2.7.2.1</t>
  </si>
  <si>
    <t xml:space="preserve"> - Felhalmozási célú pénzeszközátadás államháztartáson kívülre</t>
  </si>
  <si>
    <t>2.7.2.2</t>
  </si>
  <si>
    <t xml:space="preserve"> - Felhalmozási célú támogatásértékű kiadás</t>
  </si>
  <si>
    <t>2.7.2.3</t>
  </si>
  <si>
    <t xml:space="preserve"> - Pénzügyi befektetések kiadásai</t>
  </si>
  <si>
    <t>4.3.</t>
  </si>
  <si>
    <t>VII. Függő,átfutó,kiegyenlítő kiadások</t>
  </si>
  <si>
    <t>sorszám</t>
  </si>
  <si>
    <t>Önkormányzat bevételei</t>
  </si>
  <si>
    <t>I. MŰKÖDÉSI BEVÉTELEK</t>
  </si>
  <si>
    <t>Önkormányzat működési bevételei</t>
  </si>
  <si>
    <t>Hatósági jogkörhöz köthető működési bevételek</t>
  </si>
  <si>
    <t>1.1.1.1.</t>
  </si>
  <si>
    <t>Okmányiroda, igazgatási tev.</t>
  </si>
  <si>
    <t>működéshez kapcsolódó egyéb bevételek</t>
  </si>
  <si>
    <t>1.1.2.1.</t>
  </si>
  <si>
    <t>Szolgáltatások bevételei</t>
  </si>
  <si>
    <t>1.1.2.2.</t>
  </si>
  <si>
    <t>Egyéb bevétel</t>
  </si>
  <si>
    <t>1.1.2.2.1</t>
  </si>
  <si>
    <t xml:space="preserve"> - Piaci helypénz,közterület fogl.</t>
  </si>
  <si>
    <t>1.1.2.2.2</t>
  </si>
  <si>
    <t xml:space="preserve"> - Nagybani piac bevétel</t>
  </si>
  <si>
    <t>1.1.2.2.3</t>
  </si>
  <si>
    <t xml:space="preserve"> - Búcsú</t>
  </si>
  <si>
    <t>1.1.2.2.4</t>
  </si>
  <si>
    <t xml:space="preserve"> - Bírság</t>
  </si>
  <si>
    <t>1.1.2.2.5</t>
  </si>
  <si>
    <t xml:space="preserve"> - Egyéb</t>
  </si>
  <si>
    <t>1.1.3.</t>
  </si>
  <si>
    <t>egyéb sajátos bevételei</t>
  </si>
  <si>
    <t>1.1.3.1.</t>
  </si>
  <si>
    <t>1.1.3.1.1.</t>
  </si>
  <si>
    <t>Helyiségek tartós bérbeadás</t>
  </si>
  <si>
    <t>1.1.3.1.1.1</t>
  </si>
  <si>
    <t xml:space="preserve"> - Önkormányzati</t>
  </si>
  <si>
    <t>1.1.3.1.1.2</t>
  </si>
  <si>
    <t xml:space="preserve"> - Egyéb építmény bérbeadása (GYÁVÍV Kft)</t>
  </si>
  <si>
    <t>1.1.2.1.1.3</t>
  </si>
  <si>
    <t xml:space="preserve"> - Károly u. 2.</t>
  </si>
  <si>
    <t>1.1.3.2.</t>
  </si>
  <si>
    <t>1.1.4.</t>
  </si>
  <si>
    <t>Kamatbevételek</t>
  </si>
  <si>
    <t>1.1.5.</t>
  </si>
  <si>
    <t xml:space="preserve">ÁFA bevétel </t>
  </si>
  <si>
    <t>1.1.6</t>
  </si>
  <si>
    <t xml:space="preserve">Tárgyi eszköz értékesítés ÁFA bevétel </t>
  </si>
  <si>
    <t>1.1.7</t>
  </si>
  <si>
    <t>Áh.kiv.Közvetített szolgáltatások</t>
  </si>
  <si>
    <t>1.2.1.1.</t>
  </si>
  <si>
    <t xml:space="preserve"> -Építményadó</t>
  </si>
  <si>
    <t>1.2.1.2</t>
  </si>
  <si>
    <t xml:space="preserve"> -Iparűzési adó</t>
  </si>
  <si>
    <t>1.2.1.3</t>
  </si>
  <si>
    <t xml:space="preserve"> -Kommunális adó</t>
  </si>
  <si>
    <t>1.2.1.4</t>
  </si>
  <si>
    <t xml:space="preserve"> -Napi általány (piac)</t>
  </si>
  <si>
    <t>1.2.1.5.</t>
  </si>
  <si>
    <t xml:space="preserve"> -Pótlékok,bírságok</t>
  </si>
  <si>
    <t>1.2.1.6.</t>
  </si>
  <si>
    <t xml:space="preserve"> -Idegenforgalmi adó</t>
  </si>
  <si>
    <t>1.2.2.1.</t>
  </si>
  <si>
    <t>1.2.2.2</t>
  </si>
  <si>
    <t xml:space="preserve"> - SZJA-ból kiegészítés jövedelem differenciálás miatt</t>
  </si>
  <si>
    <t>1.2.2.3</t>
  </si>
  <si>
    <t xml:space="preserve"> - SZJA Normatív módon elosztott része</t>
  </si>
  <si>
    <t>1.2.2.4.</t>
  </si>
  <si>
    <t>1.2.3.</t>
  </si>
  <si>
    <t>Különféle bírságok</t>
  </si>
  <si>
    <t>1.2.4.</t>
  </si>
  <si>
    <t>Helyszíni és szabálysértési bírság</t>
  </si>
  <si>
    <t>1.2.5.</t>
  </si>
  <si>
    <t>Talajterhelési díj</t>
  </si>
  <si>
    <t>1.2.6.</t>
  </si>
  <si>
    <t>Egyéb sajátos folyó bevételek</t>
  </si>
  <si>
    <t>1.2.6.1.</t>
  </si>
  <si>
    <t>Önkormányzati lakások lakbér</t>
  </si>
  <si>
    <t>Önkormányzatok költségvetési támogatása</t>
  </si>
  <si>
    <t>1.3.1</t>
  </si>
  <si>
    <t>1.3.2</t>
  </si>
  <si>
    <t>Normatíva, kötött felhasználású támogatás</t>
  </si>
  <si>
    <t>1.3.2.1</t>
  </si>
  <si>
    <t xml:space="preserve"> - Osztályfőnöki pótlék</t>
  </si>
  <si>
    <t>1.3.2.2</t>
  </si>
  <si>
    <t xml:space="preserve"> - Ped.szakvizsga és továbbképzés</t>
  </si>
  <si>
    <t>1.3.2.3</t>
  </si>
  <si>
    <t xml:space="preserve"> - Szociális továbbképzés és szakvizsga támogatás</t>
  </si>
  <si>
    <t>1.3.2.4</t>
  </si>
  <si>
    <t xml:space="preserve"> - Óvodai és iskolai kedvezményes étkeztetés</t>
  </si>
  <si>
    <t>1.3.2.5</t>
  </si>
  <si>
    <t xml:space="preserve"> - Ingyen tankönyv</t>
  </si>
  <si>
    <t>1.3.2.6</t>
  </si>
  <si>
    <t xml:space="preserve"> - Szakmai informatikai fejlesztés</t>
  </si>
  <si>
    <t>1.3.2.7</t>
  </si>
  <si>
    <t xml:space="preserve"> - Bölcsödei ingyenes étkeztetés</t>
  </si>
  <si>
    <t>1.3.2.8</t>
  </si>
  <si>
    <t xml:space="preserve"> - Egyes jövedelem ptl.támogatások</t>
  </si>
  <si>
    <t>Központosított előírányzatok</t>
  </si>
  <si>
    <t>1.3.3.1</t>
  </si>
  <si>
    <t xml:space="preserve"> - Nemzetiségi Önkormányzatok központi előirányzata</t>
  </si>
  <si>
    <t>1.3.3.1.1</t>
  </si>
  <si>
    <t xml:space="preserve">       -ebből Német Nemzetiségi Önkormányzat</t>
  </si>
  <si>
    <t>1.3.3.1.2.</t>
  </si>
  <si>
    <t xml:space="preserve">       -ebből Cigány Nemzetiségi Önkormányzat</t>
  </si>
  <si>
    <t>2.1.3.</t>
  </si>
  <si>
    <t>Kiegészítő támogatás helyi önkormányzatok bérkiadásához</t>
  </si>
  <si>
    <t>2.1.4</t>
  </si>
  <si>
    <t>Könyvtár érdekeltségnövelő pály.</t>
  </si>
  <si>
    <t>2.1.5</t>
  </si>
  <si>
    <t>Közműfejlesztési támogatás</t>
  </si>
  <si>
    <t>1.3.3.2</t>
  </si>
  <si>
    <t>1.3.5.</t>
  </si>
  <si>
    <t>Önkormányzatok egyéb költségvetési támogatása</t>
  </si>
  <si>
    <t>1.3.5.1</t>
  </si>
  <si>
    <t>Céljellegű, decentrelizált támogatás</t>
  </si>
  <si>
    <t>1.3.5.1.1.</t>
  </si>
  <si>
    <t>KMR támogatás /Széchenyi út burkolatfelújítás/</t>
  </si>
  <si>
    <t>1.4.1.</t>
  </si>
  <si>
    <t>Társönkormányzatoktól átvett pénzeszközök</t>
  </si>
  <si>
    <t>EU költségvetésből átvett pénzeszközök</t>
  </si>
  <si>
    <t>Központi költségvetésből átvett pénzeszközök</t>
  </si>
  <si>
    <t>1.5.</t>
  </si>
  <si>
    <t>Működési célú pénzeszközátvétel ÁH kivülről</t>
  </si>
  <si>
    <t>1.6.</t>
  </si>
  <si>
    <t>Támogatási kölcsönök visszatérülése</t>
  </si>
  <si>
    <t>Pénzforgalmi műk.célú ktgvet.-i bevételek összesen:</t>
  </si>
  <si>
    <t>1.7.</t>
  </si>
  <si>
    <t xml:space="preserve">Működési célú előző évi pénzmaradvány </t>
  </si>
  <si>
    <t>1.8.</t>
  </si>
  <si>
    <t>Működési hiány finanszírozására igénybevett előző évi pénzmaradvány</t>
  </si>
  <si>
    <t>Pénzforgalom nélküli működési bevételek összesen:</t>
  </si>
  <si>
    <t>1.9.</t>
  </si>
  <si>
    <t>Pénzforgalom nélküli működési v</t>
  </si>
  <si>
    <t>Költségvetési működési bevételek:</t>
  </si>
  <si>
    <t>1.11.</t>
  </si>
  <si>
    <t>Működési célú hitel</t>
  </si>
  <si>
    <t>1.11.1.</t>
  </si>
  <si>
    <t>Likviditási hitel felvétel Pénzügyi vállalkozástól</t>
  </si>
  <si>
    <t>1.12.</t>
  </si>
  <si>
    <t>Rövid lejáratú éven belüli értékpapírok</t>
  </si>
  <si>
    <t>1.12.1</t>
  </si>
  <si>
    <t>Értékpapírok beváltása</t>
  </si>
  <si>
    <t>Finanszírozási működési bevételek összesen:</t>
  </si>
  <si>
    <t>I. MŰKÖDÉSI BEVÉTELEK ÖSSZESEN:</t>
  </si>
  <si>
    <t>II. FELHALMOZÁSI CÉLÚ BEVÉTELEK</t>
  </si>
  <si>
    <t>Önk.felhalmozási és tőke jellegű bevételei</t>
  </si>
  <si>
    <t>2.1.1.</t>
  </si>
  <si>
    <t>Tárgyi eszközök, immat. javak értékesítése</t>
  </si>
  <si>
    <t>2.1.1.1</t>
  </si>
  <si>
    <t>3.2.3.1.2.</t>
  </si>
  <si>
    <t xml:space="preserve"> - Laktanya</t>
  </si>
  <si>
    <t>3.2.3.1.3.</t>
  </si>
  <si>
    <t>3.2.3.1.4.</t>
  </si>
  <si>
    <t>3.2.4.</t>
  </si>
  <si>
    <t>3.2.4.1</t>
  </si>
  <si>
    <t>3.2.4.2.</t>
  </si>
  <si>
    <t xml:space="preserve"> - Asztalbérlet</t>
  </si>
  <si>
    <t>3.2.4.3.</t>
  </si>
  <si>
    <t>3.2.4.4.</t>
  </si>
  <si>
    <t>3.2.4.5</t>
  </si>
  <si>
    <t>3.2.4.6</t>
  </si>
  <si>
    <t xml:space="preserve"> - közterület </t>
  </si>
  <si>
    <t>3.2.6.</t>
  </si>
  <si>
    <t>egyéb</t>
  </si>
  <si>
    <t>2.1.2.</t>
  </si>
  <si>
    <t>Pénzügyi befektetések bevételei</t>
  </si>
  <si>
    <t>2.1.2.1</t>
  </si>
  <si>
    <t>Osztalék és hozam bevétel</t>
  </si>
  <si>
    <t>2.2.1.</t>
  </si>
  <si>
    <t>2.3.1.</t>
  </si>
  <si>
    <t>Felhalmozási célú pénzeszköz átvétel Áh kivülről</t>
  </si>
  <si>
    <t>2.3.1.1.</t>
  </si>
  <si>
    <t xml:space="preserve">Közműfejlesztésre lakosságtól </t>
  </si>
  <si>
    <t>2.3.1.2</t>
  </si>
  <si>
    <t>EU-s költségvetésből</t>
  </si>
  <si>
    <t>Tám. kölcsönök visszatérülése, igénybevétele</t>
  </si>
  <si>
    <t>2.4.1.</t>
  </si>
  <si>
    <t>Pénzforgalmi felhalm. célú költségvetési bevételek:</t>
  </si>
  <si>
    <t>Pénzforgalom nélküli bevételek</t>
  </si>
  <si>
    <t xml:space="preserve">Felhalmozási célú előző évi pénzmaradvány </t>
  </si>
  <si>
    <t>Felhalmozási hiány finanszírozására igénybevett előző évi pénzmaradvány</t>
  </si>
  <si>
    <t>Pénzforgalom nélküli felhalmozási bevételek összesen:</t>
  </si>
  <si>
    <t>Költségvetési felhalmozási bevételek:</t>
  </si>
  <si>
    <t>2.8.</t>
  </si>
  <si>
    <t xml:space="preserve">Hosszú lejáratú hitelek </t>
  </si>
  <si>
    <t>2.8.1.</t>
  </si>
  <si>
    <t>Felhalmozási célú hitelfelvétel</t>
  </si>
  <si>
    <t>2.8.2.</t>
  </si>
  <si>
    <t>Tartozás kötvénykibocsátásból</t>
  </si>
  <si>
    <t>Finanszírozási felhalmozási bevételek összesen:</t>
  </si>
  <si>
    <t>II. FELHALMOZÁSI BEVÉTELEK ÖSSZESEN:</t>
  </si>
  <si>
    <t>Kiegyenlítő, függő, átfutó bevételek</t>
  </si>
  <si>
    <t>MŰKÖD. ÉS FELHALM. BEVÉTELEK ÖSSZESEN</t>
  </si>
  <si>
    <t>Intézményi támogatásból származó halmozódás kiszűrése:</t>
  </si>
  <si>
    <t>ÖNKORMÁNYZAT BEVÉTELEI ÖSSZESEN:</t>
  </si>
  <si>
    <t>Önkormányzat Kiadásai</t>
  </si>
  <si>
    <t>I. MŰKÖDÉSI KIADÁSOK</t>
  </si>
  <si>
    <t>Személyi juttatás</t>
  </si>
  <si>
    <t>Munkaadót terhelő járulékok</t>
  </si>
  <si>
    <t>Létszámfejlesztés 3 fő</t>
  </si>
  <si>
    <t>1.2.3.1</t>
  </si>
  <si>
    <t>Dologi és egyéb folyó kiadások</t>
  </si>
  <si>
    <t>1.3.1.</t>
  </si>
  <si>
    <t>Önkormányzat</t>
  </si>
  <si>
    <t>1.3.1.1</t>
  </si>
  <si>
    <t>Bevételek után fizetendő Áfa /Bérl. díj stb./</t>
  </si>
  <si>
    <t>1.3.1.2</t>
  </si>
  <si>
    <t>Rehabilitációs hozzájárulás</t>
  </si>
  <si>
    <t>1.3.1.3</t>
  </si>
  <si>
    <t>Folyószámlahitel kamatai</t>
  </si>
  <si>
    <t>1.3.1.4</t>
  </si>
  <si>
    <t>1.3.2.</t>
  </si>
  <si>
    <t>Önkormányzat által folyósított ellátások posta ktg.</t>
  </si>
  <si>
    <t>Postaköltség</t>
  </si>
  <si>
    <t>1.4.2.</t>
  </si>
  <si>
    <t>1.4.3</t>
  </si>
  <si>
    <t>1.4.4</t>
  </si>
  <si>
    <t>1.4.5</t>
  </si>
  <si>
    <t>1.4.6</t>
  </si>
  <si>
    <t>Előző évi előírányzat-, pénzmaradvány átadás</t>
  </si>
  <si>
    <t>Végleges pénzeszközátadás Áh.  kivülre</t>
  </si>
  <si>
    <t>1.6.1.</t>
  </si>
  <si>
    <t>Alapítványok</t>
  </si>
  <si>
    <t>1.6.1.1</t>
  </si>
  <si>
    <t>Vecsés Közrendjéért és  Közbiztonságáért Közalapítvány</t>
  </si>
  <si>
    <t>1.6.1.2.</t>
  </si>
  <si>
    <t>Vecsési Fúvószenekari Alapítvány</t>
  </si>
  <si>
    <t>1.6.1.3.</t>
  </si>
  <si>
    <t>Vecsés Tájékoztatásáért Közalapítvány</t>
  </si>
  <si>
    <t>1.6.1.3.1</t>
  </si>
  <si>
    <t xml:space="preserve"> - ebből Tavaszi fesztivál</t>
  </si>
  <si>
    <t>1.6.1.4.</t>
  </si>
  <si>
    <t>Vecsés Egészségügyéért Közhasznú Közlapítvány</t>
  </si>
  <si>
    <t>1.6.1.5.</t>
  </si>
  <si>
    <t>Vecsés Sportjáért Alapítvány</t>
  </si>
  <si>
    <t>1.6.1.6.</t>
  </si>
  <si>
    <t xml:space="preserve">Polgárőr Egyesület </t>
  </si>
  <si>
    <t>1.6.1.7.</t>
  </si>
  <si>
    <t>Vecsési Tájházért Alapítvány (13/2010. (I.26.)</t>
  </si>
  <si>
    <t>1.6.1.8</t>
  </si>
  <si>
    <t xml:space="preserve">Vecsés Közművelődéséért Alapítvány </t>
  </si>
  <si>
    <t>1.6.1.8.1</t>
  </si>
  <si>
    <t>Káposztafeszt</t>
  </si>
  <si>
    <t>1.6.1.8.2</t>
  </si>
  <si>
    <t>1.6.2.</t>
  </si>
  <si>
    <t>Társadalmi célú szervezetek</t>
  </si>
  <si>
    <t>1.6.2.1.</t>
  </si>
  <si>
    <t>Sport támogatás</t>
  </si>
  <si>
    <t>1.6.2.1.1</t>
  </si>
  <si>
    <t>1.6.2.1.2</t>
  </si>
  <si>
    <t xml:space="preserve"> - VSE támogatás</t>
  </si>
  <si>
    <t>1.6.2.1.3</t>
  </si>
  <si>
    <t xml:space="preserve"> - Egyéb támogatás</t>
  </si>
  <si>
    <t>1.6.2.2</t>
  </si>
  <si>
    <t>Német Nemzetiségi ÖK</t>
  </si>
  <si>
    <t>1.6.2.3</t>
  </si>
  <si>
    <t>1.6.2.4</t>
  </si>
  <si>
    <t>WTV Kép és Hangstúdíó</t>
  </si>
  <si>
    <t>1.6.2.5</t>
  </si>
  <si>
    <t>Vecsési Sportakadémia Kft.</t>
  </si>
  <si>
    <t>1.6.2.5.1</t>
  </si>
  <si>
    <t xml:space="preserve"> - ebből "Bozsik program"</t>
  </si>
  <si>
    <t>1.6.2.6</t>
  </si>
  <si>
    <t>Bálint Á.Iroda.és Értékőrző Al.</t>
  </si>
  <si>
    <t>1.6.2.7</t>
  </si>
  <si>
    <t>1.6.2.8</t>
  </si>
  <si>
    <t>Róder Imre Cserkészcsapat</t>
  </si>
  <si>
    <t>1.6.2.9</t>
  </si>
  <si>
    <t>1.6.2.10</t>
  </si>
  <si>
    <t>Honismereti Kör</t>
  </si>
  <si>
    <t>1.6.2.11</t>
  </si>
  <si>
    <t>Vecsési Hagyományörző Zeneegyesület</t>
  </si>
  <si>
    <t>1.6.2.12</t>
  </si>
  <si>
    <t>II.sz.Nyugdíjas Klub</t>
  </si>
  <si>
    <t>1.6.2.13</t>
  </si>
  <si>
    <t>III.sz.Nyugdíjas Klub</t>
  </si>
  <si>
    <t>1.6.2.14</t>
  </si>
  <si>
    <t>Horváth Ákos Emléktorna</t>
  </si>
  <si>
    <t>1.6.2.15</t>
  </si>
  <si>
    <t>Concerto Harmonica</t>
  </si>
  <si>
    <t>1.6.2.16</t>
  </si>
  <si>
    <t>Rosmarein Táncegyesület</t>
  </si>
  <si>
    <t>1.6.2.17</t>
  </si>
  <si>
    <t>Labdarózsa Énekkar</t>
  </si>
  <si>
    <t>1.6.2.18</t>
  </si>
  <si>
    <t>Vecsési Borbarátok Egyesület</t>
  </si>
  <si>
    <t>1.6.2.19</t>
  </si>
  <si>
    <t>Lumpen-Klumpen Tánccsoport</t>
  </si>
  <si>
    <t>1.6.2.20</t>
  </si>
  <si>
    <t>Balla P. Népdalkör. H.E.</t>
  </si>
  <si>
    <t>1.6.2.21</t>
  </si>
  <si>
    <t>1.6.2.22</t>
  </si>
  <si>
    <t>Mozgássérültek Bp-i E.Vecsési Szervezet</t>
  </si>
  <si>
    <t>1.6.2.23</t>
  </si>
  <si>
    <t>Megmaradunk 3000 Al.</t>
  </si>
  <si>
    <t>1.6.2.24</t>
  </si>
  <si>
    <t>Orbán Balázs Erdélyi Kör</t>
  </si>
  <si>
    <t>1.6.2.25</t>
  </si>
  <si>
    <t>Rohan Hobbilovas Sport Egyesület</t>
  </si>
  <si>
    <t>1.6.2.26</t>
  </si>
  <si>
    <t>1.6.2.27</t>
  </si>
  <si>
    <t>VSE Kézilabda Szakosztály</t>
  </si>
  <si>
    <t>1.6.2.28</t>
  </si>
  <si>
    <t>1.6.2.29</t>
  </si>
  <si>
    <t>1.6.3.</t>
  </si>
  <si>
    <t>Egyéb támogatások</t>
  </si>
  <si>
    <t>1.6.3.1.</t>
  </si>
  <si>
    <t>Egyház</t>
  </si>
  <si>
    <t>1.6.3.2.</t>
  </si>
  <si>
    <t>Ösztöndíjak</t>
  </si>
  <si>
    <t>1.6.3.2.1</t>
  </si>
  <si>
    <t xml:space="preserve"> - Bursa ösztöndíj</t>
  </si>
  <si>
    <t>1.6.3.2.2</t>
  </si>
  <si>
    <t xml:space="preserve"> - Önkormányzati ösztöndíj pályázat</t>
  </si>
  <si>
    <t>1.6.3.3</t>
  </si>
  <si>
    <t>1.6.3.4</t>
  </si>
  <si>
    <t>Kisegítő Iskola</t>
  </si>
  <si>
    <t>1.6.3.5</t>
  </si>
  <si>
    <t xml:space="preserve">Református Óvoda </t>
  </si>
  <si>
    <t>1.6.3.6.</t>
  </si>
  <si>
    <t>Vállalkozás fejlesztés támogatása</t>
  </si>
  <si>
    <t>1.6.3.7</t>
  </si>
  <si>
    <t>Rendőőrs Alkalmazott Bére</t>
  </si>
  <si>
    <t>1.6.3.8</t>
  </si>
  <si>
    <t>1.6.3.9</t>
  </si>
  <si>
    <t>1.6.3.10</t>
  </si>
  <si>
    <t>Háztartásoknak átadott /otthonteremtési, Megel.gytartás/</t>
  </si>
  <si>
    <t>1.6.3.11</t>
  </si>
  <si>
    <t>Evangélikus Egyházközség</t>
  </si>
  <si>
    <t>1.6.3.12</t>
  </si>
  <si>
    <t>Ó-Plébánia</t>
  </si>
  <si>
    <t>1.6.3.13</t>
  </si>
  <si>
    <t>Vecsési Református Egyházközség</t>
  </si>
  <si>
    <t>1.6.3.15</t>
  </si>
  <si>
    <t>Irgalmas Jézus Róm.Kat. Plébánia</t>
  </si>
  <si>
    <t>1.6.4.</t>
  </si>
  <si>
    <t xml:space="preserve">Menetrendszerű közúti, helyi személyszállítás </t>
  </si>
  <si>
    <t>Önkormányzat által folyósított ellátások</t>
  </si>
  <si>
    <t>1.7.1</t>
  </si>
  <si>
    <t>Átmeneti segély</t>
  </si>
  <si>
    <t>1.7.2</t>
  </si>
  <si>
    <t>Temetési segély</t>
  </si>
  <si>
    <t>1.7.3</t>
  </si>
  <si>
    <t>Rendkívüli gyermekvédelmi támogatás (tankönyv, tábor )</t>
  </si>
  <si>
    <t>1.7.4</t>
  </si>
  <si>
    <t>Köztemetés</t>
  </si>
  <si>
    <t>Pénzforgalmi műk. célú ktgvet.-i kiadások összesen:</t>
  </si>
  <si>
    <t>1.8.1.</t>
  </si>
  <si>
    <t>Általános Tartalék</t>
  </si>
  <si>
    <t>1.8.2.</t>
  </si>
  <si>
    <t>Pénzforgalom nélküli működési kiadások összesen:</t>
  </si>
  <si>
    <t>Költségvetési működési kiadások:</t>
  </si>
  <si>
    <t>Értékpapírok vásárlása</t>
  </si>
  <si>
    <t>1.10.</t>
  </si>
  <si>
    <t>Működési célú hitel visszafizetése</t>
  </si>
  <si>
    <t>1.10.1</t>
  </si>
  <si>
    <t>FORD hitel törlesztés</t>
  </si>
  <si>
    <t>1.10.2</t>
  </si>
  <si>
    <t>Fénymásolók lízingdíja</t>
  </si>
  <si>
    <t>1.10.2.1</t>
  </si>
  <si>
    <t xml:space="preserve"> -I.</t>
  </si>
  <si>
    <t>1.10.3</t>
  </si>
  <si>
    <t>Társulati hitel törlesztés</t>
  </si>
  <si>
    <t>1.10.4.</t>
  </si>
  <si>
    <t>Munkabérhitel törlesztés</t>
  </si>
  <si>
    <t>1.10.5.</t>
  </si>
  <si>
    <t>Folyószámlahitel törlesztése</t>
  </si>
  <si>
    <t>Finanszírozási működési kiadások összesen:</t>
  </si>
  <si>
    <t>I. MŰKÖDÉSI KIADÁSOK ÖSSZESEN:</t>
  </si>
  <si>
    <t>II. FELHALMOZÁSI CÉLÚ KIADÁSOK</t>
  </si>
  <si>
    <t>Felújítási kiadások</t>
  </si>
  <si>
    <t>Részvények,részesedések vásárlása</t>
  </si>
  <si>
    <t>Végleges pénzeszközátadás Áh kivülre</t>
  </si>
  <si>
    <t>2.5.1</t>
  </si>
  <si>
    <t xml:space="preserve">Egyéb pe. átadás háztartásoknak </t>
  </si>
  <si>
    <t>2.5.2.</t>
  </si>
  <si>
    <t>Kölcsönnyújtás</t>
  </si>
  <si>
    <t>Óvadék</t>
  </si>
  <si>
    <t>Fejlesztési célhitel kamatai</t>
  </si>
  <si>
    <t xml:space="preserve">300 milliós értékpapír kibocsátás után fizetendő kamat               </t>
  </si>
  <si>
    <t xml:space="preserve">700 millió értékpapír kibocsátás után fizetendő kamat                   </t>
  </si>
  <si>
    <t>Sportpálya korszerűsítés MFB hitel kamata</t>
  </si>
  <si>
    <t>200 milliós MFB hitel kamata (2010. évben felvett)</t>
  </si>
  <si>
    <t>500 milliós MFB hitel kamata (2011. évben felvett)</t>
  </si>
  <si>
    <t>Pénzforgalmi felhalm.célú költségvetési kiadások:</t>
  </si>
  <si>
    <t>2.9.</t>
  </si>
  <si>
    <t>2.9.1.</t>
  </si>
  <si>
    <t>2.9.2.</t>
  </si>
  <si>
    <t>Fejlesztési céltartalék</t>
  </si>
  <si>
    <t>Pénzforgalom nélküli felhalmozási kiadások összesen:</t>
  </si>
  <si>
    <t>Költségvetési felhalmozási kiadások:</t>
  </si>
  <si>
    <t>2.10.</t>
  </si>
  <si>
    <t>Felhalmozási célú hitel visszafizetése</t>
  </si>
  <si>
    <t>2.10.1.</t>
  </si>
  <si>
    <t>Fejlesztési célhitel törlesztés</t>
  </si>
  <si>
    <t>2.10.1.1</t>
  </si>
  <si>
    <t>2.10.1.2</t>
  </si>
  <si>
    <t>Sportpálya korszerűsítés MFB hitel</t>
  </si>
  <si>
    <t>2.10.1.3</t>
  </si>
  <si>
    <t>2.10.1.4</t>
  </si>
  <si>
    <t xml:space="preserve">Kötvény törlesztés 700 millió </t>
  </si>
  <si>
    <t>200 milliós MFB fejlesztési hitel</t>
  </si>
  <si>
    <t>500 milliós MFB fejlesztési hitel</t>
  </si>
  <si>
    <t>Finanszírozási felhalmozási kiadások összesen:</t>
  </si>
  <si>
    <t>II. FELHALMOZÁSI KIADÁSOK ÖSSZESEN:</t>
  </si>
  <si>
    <t>Önkormányzati feladat szakfeladatonként</t>
  </si>
  <si>
    <t>Városgazdálkodás ( 841403 )</t>
  </si>
  <si>
    <t>2.1.1</t>
  </si>
  <si>
    <t>2.1.2</t>
  </si>
  <si>
    <t>2.1.3</t>
  </si>
  <si>
    <t>Létszám fő</t>
  </si>
  <si>
    <t>Közvilágítás ( 841402 )</t>
  </si>
  <si>
    <t>Települési hulladék kezelés, köztisztasági tevékenység (902113)</t>
  </si>
  <si>
    <t>2.3.2.</t>
  </si>
  <si>
    <t>2.3.3.</t>
  </si>
  <si>
    <t>Közcélú foglalkoztatás ( 890441 )</t>
  </si>
  <si>
    <t>2.3.1</t>
  </si>
  <si>
    <t>2.3.2</t>
  </si>
  <si>
    <t>2.3.3</t>
  </si>
  <si>
    <t>Sportlétesítmények ( Sportpálya)</t>
  </si>
  <si>
    <t>2.4.1</t>
  </si>
  <si>
    <t>2.4.2</t>
  </si>
  <si>
    <t>2.4.3</t>
  </si>
  <si>
    <t>Lakóingatlan bérbeadása (682001 )üzemeltetése</t>
  </si>
  <si>
    <t>Nem lakóingatlan bérbeadása ( 682002 ) üzemelt.</t>
  </si>
  <si>
    <t>2.6.1</t>
  </si>
  <si>
    <t>Utak üzemeltetése ( 552110 )</t>
  </si>
  <si>
    <t>2.7.1</t>
  </si>
  <si>
    <t>Szennyvízelvezetés és kezelés ( 901116)</t>
  </si>
  <si>
    <t>2.5.1.</t>
  </si>
  <si>
    <t>Kisegítő mezőgazdasági tevékenység ( 014034)</t>
  </si>
  <si>
    <t>2.6.1.</t>
  </si>
  <si>
    <t>2.6.2</t>
  </si>
  <si>
    <t>2.6.3.</t>
  </si>
  <si>
    <t>2.6.4.</t>
  </si>
  <si>
    <t>Zöldterület kezelés ( 813000 )</t>
  </si>
  <si>
    <t>2.8.1</t>
  </si>
  <si>
    <t>Egyéb oktatási célok feladatok                                                                    (Kisegítő Iskolások 856099)</t>
  </si>
  <si>
    <t>2.9.1</t>
  </si>
  <si>
    <t>2.9.2</t>
  </si>
  <si>
    <t>2.9.3</t>
  </si>
  <si>
    <t>Utak építése ( 422110 )</t>
  </si>
  <si>
    <t xml:space="preserve">Menetrendszerű közúti, helyi személyszállítás (602147) </t>
  </si>
  <si>
    <t>Önkormányzati feladat szakfeladatonként Összesítés</t>
  </si>
  <si>
    <t>Kiegyenlítő, függő, átfutó kiadások</t>
  </si>
  <si>
    <t>KIADÁS ÖSSZESEN</t>
  </si>
  <si>
    <t>Intézményi felhalmozásból származó halmozódás kiszűrése:</t>
  </si>
  <si>
    <t>ÖNKORMÁNYZAT KIADÁSAI ÖSSZESEN:</t>
  </si>
  <si>
    <t>4. sz. melléklet</t>
  </si>
  <si>
    <t>Költségvetési szerv megnevezése</t>
  </si>
  <si>
    <t>Polgármesteri Hivatal</t>
  </si>
  <si>
    <t>I. Intézményi működési bevételek (1.1.+…+1.8.)</t>
  </si>
  <si>
    <t>II. Véglegesen átvett pénzeszközök (2.1.+…+2.4.)</t>
  </si>
  <si>
    <t>Támogatásértékű működési bevételek</t>
  </si>
  <si>
    <t>Támogatásértékű felhalmozási bevételek</t>
  </si>
  <si>
    <t>EU-s forrásból származó bevételek</t>
  </si>
  <si>
    <t>Működési célú pénzeszközátvétel</t>
  </si>
  <si>
    <t>III. Felhalmozási célú egyéb bevételek</t>
  </si>
  <si>
    <t>IV. Közhatalmi bevételek</t>
  </si>
  <si>
    <t>V. Kölcsön</t>
  </si>
  <si>
    <t>VI. Pénzmaradvány, vállalk. tev. maradványa (6.1.+6.2.)</t>
  </si>
  <si>
    <t>Előző évi pénzmaradvány igénybevétele</t>
  </si>
  <si>
    <t>Előző évi vállalkozási maradvány igénybevétele</t>
  </si>
  <si>
    <t>VIII. Függő, átfutó, kiegyenlítő bevételek</t>
  </si>
  <si>
    <t>BEVÉTELEK ÖSSZESEN (1+2+3+4+5+6+7)</t>
  </si>
  <si>
    <t>1.5.1.</t>
  </si>
  <si>
    <t>Mük.célú pénzeszköz átadás Áh kivülre</t>
  </si>
  <si>
    <t>1.5.2.</t>
  </si>
  <si>
    <r>
      <t xml:space="preserve">II. Felhalmozási költségvetés kiadásai </t>
    </r>
    <r>
      <rPr>
        <sz val="8"/>
        <rFont val="Times New Roman CE"/>
        <family val="1"/>
        <charset val="238"/>
      </rPr>
      <t>(2.1+…+2.4)</t>
    </r>
  </si>
  <si>
    <t>Intézményi beruházási kiadások</t>
  </si>
  <si>
    <t>Egyéb fejlesztési célú kiadások</t>
  </si>
  <si>
    <t>III. Kölcsön</t>
  </si>
  <si>
    <t>IV. Függő,átfutó,kiegyenlítő kiadások</t>
  </si>
  <si>
    <t>KIADÁSOK ÖSSZESEN: (1+2+3)</t>
  </si>
  <si>
    <t>4.1. sz. melléklet</t>
  </si>
  <si>
    <t>Igazgatási feladatok</t>
  </si>
  <si>
    <r>
      <t xml:space="preserve">II. Felhalmozási költségvetés kiadásai </t>
    </r>
    <r>
      <rPr>
        <sz val="11"/>
        <rFont val="Times New Roman CE"/>
        <family val="1"/>
        <charset val="238"/>
      </rPr>
      <t>(2.1+…+2.4)</t>
    </r>
  </si>
  <si>
    <t>4.2. sz. melléklet</t>
  </si>
  <si>
    <t>Szociális gondoskodás</t>
  </si>
  <si>
    <r>
      <t xml:space="preserve">I. Működési költségvetés kiadásai </t>
    </r>
    <r>
      <rPr>
        <sz val="12"/>
        <rFont val="Times New Roman CE"/>
        <family val="1"/>
        <charset val="238"/>
      </rPr>
      <t>(1.1+…+1.5.)</t>
    </r>
  </si>
  <si>
    <r>
      <t xml:space="preserve">II. Felhalmozási költségvetés kiadásai </t>
    </r>
    <r>
      <rPr>
        <sz val="12"/>
        <rFont val="Times New Roman CE"/>
        <family val="1"/>
        <charset val="238"/>
      </rPr>
      <t>(2.1+…+2.4)</t>
    </r>
  </si>
  <si>
    <t>4.3. sz. melléklet</t>
  </si>
  <si>
    <t>Jogalkotás</t>
  </si>
  <si>
    <t>4.4 sz. melléklet</t>
  </si>
  <si>
    <t>Művelődés, sport</t>
  </si>
  <si>
    <t>4.5. sz. melléklet</t>
  </si>
  <si>
    <t>Vagyongazdálkodás</t>
  </si>
  <si>
    <t>4.6. sz. melléklet</t>
  </si>
  <si>
    <t>Adó</t>
  </si>
  <si>
    <t>4.7. sz. melléklet</t>
  </si>
  <si>
    <t>Közterület rendjének fenntartása</t>
  </si>
  <si>
    <t>4.8. sz. melléklet</t>
  </si>
  <si>
    <t>5. sz. melléklet</t>
  </si>
  <si>
    <t>Vecsés Város Önkormányzat Intézményei összesen</t>
  </si>
  <si>
    <t>ebből: nemzetiségi</t>
  </si>
  <si>
    <t>2.1.4.</t>
  </si>
  <si>
    <t>2.2.1</t>
  </si>
  <si>
    <t>II. Átvett pénzeszközök (2.1.+…+2.4.)</t>
  </si>
  <si>
    <t>3.2</t>
  </si>
  <si>
    <t>IV. Kölcsön</t>
  </si>
  <si>
    <t>V. Pénzmaradvány, vállalk. tev. maradványa (5.1.+5.2.)</t>
  </si>
  <si>
    <t>VI. Önkormányzati támogatás</t>
  </si>
  <si>
    <t>VII. Függő, átfutó, kiegyenlítő bevételek</t>
  </si>
  <si>
    <t>BEVÉTELEK ÖSSZESEN (1+2+3+4+5+6)</t>
  </si>
  <si>
    <t>Ebből nemzetiség</t>
  </si>
  <si>
    <t>5.1. sz. melléklet</t>
  </si>
  <si>
    <t>Petőfi Sándor Általános Iskola és Gimnázium</t>
  </si>
  <si>
    <t>Általános iskolai oktatás</t>
  </si>
  <si>
    <t>5.2. sz. melléklet</t>
  </si>
  <si>
    <t>Középfokú oktatás</t>
  </si>
  <si>
    <t>Teljesités</t>
  </si>
  <si>
    <t>5.3. sz. melléklet</t>
  </si>
  <si>
    <t>Grassalkovich Antal Német Nemzetiségi és Kétnyelvű Álatlános Iskola</t>
  </si>
  <si>
    <t>5.4. sz. melléklet</t>
  </si>
  <si>
    <t>Gróf Andrássy Gyula Általános Iskola</t>
  </si>
  <si>
    <t>5.5. sz. melléklet</t>
  </si>
  <si>
    <t>Halmi Telepi Általános Iskola</t>
  </si>
  <si>
    <t>5.6. sz. melléklet</t>
  </si>
  <si>
    <t>Vecsési Zeneiskola</t>
  </si>
  <si>
    <t>Művészeti oktatás</t>
  </si>
  <si>
    <t>Falusi Nemzetiségi Óvoda</t>
  </si>
  <si>
    <t>Óvodai nevelés</t>
  </si>
  <si>
    <t>5.8. sz. melléklet</t>
  </si>
  <si>
    <t>Mosolyország Óvoda</t>
  </si>
  <si>
    <t>Bálint Ágnes Óvoda</t>
  </si>
  <si>
    <t>5.10. sz. melléklet</t>
  </si>
  <si>
    <t>Tündérkert Óvoda</t>
  </si>
  <si>
    <t>Oktatási Intézmények Központi Konyhája</t>
  </si>
  <si>
    <t>Közétkeztetés</t>
  </si>
  <si>
    <t>Semmelweis Bőlcsöde</t>
  </si>
  <si>
    <t>Közművelődés</t>
  </si>
  <si>
    <t>Róder Imre Városi Könyvtár</t>
  </si>
  <si>
    <t>Könyvtári szolgáltatás</t>
  </si>
  <si>
    <t>Családsegítő és Gyermekjóléti Szolgálat</t>
  </si>
  <si>
    <t>Család-, és gyermekvédelem</t>
  </si>
  <si>
    <t>Önállóan működő intézmények neve</t>
  </si>
  <si>
    <t>XV.</t>
  </si>
  <si>
    <t>Családsegítő- és Gyermekjóléti Szolgálat</t>
  </si>
  <si>
    <t>Családsegítő Szolgálat</t>
  </si>
  <si>
    <t>Intézmények működési bevételei</t>
  </si>
  <si>
    <t>Felhalmozási és tőke jellegű bevételek /Tárgyi eszk. ért./</t>
  </si>
  <si>
    <t>Költségvetési támogatás</t>
  </si>
  <si>
    <t xml:space="preserve">      - Működési támogatás</t>
  </si>
  <si>
    <t>1.3.1.1.</t>
  </si>
  <si>
    <t xml:space="preserve"> Állami normatíva      </t>
  </si>
  <si>
    <t>1.3.1.1.1.</t>
  </si>
  <si>
    <t>Vecsés</t>
  </si>
  <si>
    <t>1.3.1.1.2.</t>
  </si>
  <si>
    <t xml:space="preserve">Ecser </t>
  </si>
  <si>
    <t>1.3.1.1.3.</t>
  </si>
  <si>
    <t>Gyömrő</t>
  </si>
  <si>
    <t>1.3.1.1.4.</t>
  </si>
  <si>
    <t>Maglód</t>
  </si>
  <si>
    <t>1.3.1.2.</t>
  </si>
  <si>
    <t>Kiegészítő normatíva</t>
  </si>
  <si>
    <t>1.3.1.2.1.</t>
  </si>
  <si>
    <t>1.3.1.2.2.</t>
  </si>
  <si>
    <t>1.3.1.2.3.</t>
  </si>
  <si>
    <t>1.3.1.2.4.</t>
  </si>
  <si>
    <t>1.3.1.3.</t>
  </si>
  <si>
    <t>Önkormányzati támogatás</t>
  </si>
  <si>
    <t>1.3.1.3.1.</t>
  </si>
  <si>
    <t>Bevételek összesen:</t>
  </si>
  <si>
    <t>2.2.2.</t>
  </si>
  <si>
    <t>2.2.3.</t>
  </si>
  <si>
    <t>2.2.4.</t>
  </si>
  <si>
    <t>2.3.4.</t>
  </si>
  <si>
    <t>Társönkormányzatoknak átadott pénzeszközök</t>
  </si>
  <si>
    <t>2.4.2.</t>
  </si>
  <si>
    <t>2.4.3.</t>
  </si>
  <si>
    <t>Felújítás</t>
  </si>
  <si>
    <t>Beruházás</t>
  </si>
  <si>
    <t>Egyéb kiadás</t>
  </si>
  <si>
    <t>Kiadások összesen:</t>
  </si>
  <si>
    <t>Létszámkeret  fő</t>
  </si>
  <si>
    <t>Gyermekjóléti Szolgálat</t>
  </si>
  <si>
    <t>Felhalmozási támogatás</t>
  </si>
  <si>
    <t>1.4.3.</t>
  </si>
  <si>
    <t>Gondozási Központ</t>
  </si>
  <si>
    <t>Idősek ellátása</t>
  </si>
  <si>
    <t>Idősek nappali ellátása</t>
  </si>
  <si>
    <t>Gondozási díj</t>
  </si>
  <si>
    <t>1.1.2</t>
  </si>
  <si>
    <t>Szállítás</t>
  </si>
  <si>
    <t>1.1.3</t>
  </si>
  <si>
    <t>1.1.4</t>
  </si>
  <si>
    <t>Egyéb bevételek (fénymásolás, gép ber.értékesítés)</t>
  </si>
  <si>
    <t>1.1.5</t>
  </si>
  <si>
    <t>ÁFA</t>
  </si>
  <si>
    <t>Mükődési célú pe.átv.EU-tól</t>
  </si>
  <si>
    <t>Ecser</t>
  </si>
  <si>
    <t>1.4</t>
  </si>
  <si>
    <t xml:space="preserve">Létszámkeret fő </t>
  </si>
  <si>
    <t>Házi segítségnyújtás</t>
  </si>
  <si>
    <t>Felhalmozási és tőke jellegű bevételek /Tárgyi eszk.ért./</t>
  </si>
  <si>
    <t xml:space="preserve">            Állami normatíva / Gyömrő hívja le /  </t>
  </si>
  <si>
    <t>Vecsés (Gyömrőnél tervezre)</t>
  </si>
  <si>
    <t>Jelzőrendszeres házi segítségnyújtás</t>
  </si>
  <si>
    <t xml:space="preserve">            Pályázati támogatás / Gyömrő hívja le /   </t>
  </si>
  <si>
    <t>1.3.1.3.2.</t>
  </si>
  <si>
    <t>Társönkormányzatoknak átadott  pénzeszközök</t>
  </si>
  <si>
    <t>Gyömrő Városnál jelenik meg</t>
  </si>
  <si>
    <t xml:space="preserve">Házi segítségnyújtás </t>
  </si>
  <si>
    <t xml:space="preserve">Kiegészítő normatíva / Gyömrő hívja le /   </t>
  </si>
  <si>
    <t>Társönkormányzatoknak átadott</t>
  </si>
  <si>
    <t>Vecsés (Gyömrőnél tervezve)</t>
  </si>
  <si>
    <t>Társuláson kívül önállóan működtetett szakfeladat</t>
  </si>
  <si>
    <t>Szociális étkeztetés</t>
  </si>
  <si>
    <t xml:space="preserve">            Állami normatíva   </t>
  </si>
  <si>
    <t>Vecsési Egészségügyi Szolgálat</t>
  </si>
  <si>
    <t>Egészségügyi szolgáltatás</t>
  </si>
  <si>
    <t>Önállóan működő és  gazdálkodó intézmény neve</t>
  </si>
  <si>
    <t>2007.évi eredeti előirányzat</t>
  </si>
  <si>
    <t>2008.évi eredeti előirányzat</t>
  </si>
  <si>
    <t>2008.09.30. módosított előirányzat</t>
  </si>
  <si>
    <t>2009. évi tervezett előirányzat</t>
  </si>
  <si>
    <t>I.</t>
  </si>
  <si>
    <t>Járóbetegek gyógyító szakellátása  862211</t>
  </si>
  <si>
    <t>Alaptevékenységi bevétel (vizitdíj)</t>
  </si>
  <si>
    <t>Végleges pe.átvétel Áh.kivülről /Non-profit szervtől/</t>
  </si>
  <si>
    <t xml:space="preserve">            Állami normatíva   (OEP támogatás)   </t>
  </si>
  <si>
    <t xml:space="preserve">            Önkormányzati támogatás</t>
  </si>
  <si>
    <t xml:space="preserve">       - Felhalmozási támogatás</t>
  </si>
  <si>
    <t>Egyéb finanszirozási bevétel</t>
  </si>
  <si>
    <t>Egyéb finanszirozási kiadás</t>
  </si>
  <si>
    <t>Háziorvosi ügyeleti ellátás szolgálat 862102</t>
  </si>
  <si>
    <t xml:space="preserve">            Állami normatíva    (OEP támogatás)  </t>
  </si>
  <si>
    <t>Fogorvosi alapellátás 862301</t>
  </si>
  <si>
    <t>1.1.1</t>
  </si>
  <si>
    <t>Bérleti díj/egyéb bevétel</t>
  </si>
  <si>
    <t xml:space="preserve">            Állami normatíva  (OEP támogatás)    </t>
  </si>
  <si>
    <t>Ifjúság-egészségügyi gondozás 869042</t>
  </si>
  <si>
    <t>Család- és nővédelmi egészségügyi gondozás 869041</t>
  </si>
  <si>
    <t>Egészségügyi szolgálat összesítő</t>
  </si>
  <si>
    <t>eredeti</t>
  </si>
  <si>
    <t>2009. eredeti</t>
  </si>
  <si>
    <t>2010.eredeti EI</t>
  </si>
  <si>
    <t xml:space="preserve">2011. eredeti EI </t>
  </si>
  <si>
    <t>2011.mód.EI</t>
  </si>
  <si>
    <t>Tárgyi eszk.értékesítés</t>
  </si>
  <si>
    <t xml:space="preserve">            Támogatás értékű bevételek OEP</t>
  </si>
  <si>
    <t>Háziorvosi alapellátás 862101</t>
  </si>
  <si>
    <t>Társönkormányzatnak átadott pénzeszköz</t>
  </si>
  <si>
    <t>Felh.c.Pe.átvétel /Alapítványi támogatás/</t>
  </si>
  <si>
    <t>LÉTSZÁM   fő</t>
  </si>
  <si>
    <t>Egy napos sebészeti ellátás 862220</t>
  </si>
  <si>
    <t>Foglalkozás-egészségügyi alapellátás 862231</t>
  </si>
  <si>
    <t>Vecsési Egészségügyi Szolgálat                                             bevétel összesen</t>
  </si>
  <si>
    <t>Vecsési Egészségügyi Szolgálat                                             kiadás összesen</t>
  </si>
  <si>
    <t>Létszámkeret (fő) összesen:</t>
  </si>
  <si>
    <t>Teljes költség</t>
  </si>
  <si>
    <t>Kivitelezés kezdési és befejezési éve</t>
  </si>
  <si>
    <t>6=(2-4-5)</t>
  </si>
  <si>
    <t>VÁROSI FELÚJÍTÁSOK</t>
  </si>
  <si>
    <t>1.1</t>
  </si>
  <si>
    <t>1.2</t>
  </si>
  <si>
    <t>1.3</t>
  </si>
  <si>
    <t>1.7</t>
  </si>
  <si>
    <t>1.8</t>
  </si>
  <si>
    <t>1.9</t>
  </si>
  <si>
    <t>1.10</t>
  </si>
  <si>
    <t>1.11</t>
  </si>
  <si>
    <t xml:space="preserve">Temető kerítés felújítás </t>
  </si>
  <si>
    <t>1.12</t>
  </si>
  <si>
    <t>1.13</t>
  </si>
  <si>
    <t>ÖSSZESEN:</t>
  </si>
  <si>
    <t>Felújítás  megnevezése</t>
  </si>
  <si>
    <t>VÁROSI FEJLESZTÉSEK</t>
  </si>
  <si>
    <t>Egyéb fejlesztések</t>
  </si>
  <si>
    <t>Epres: szobor elhelyezése</t>
  </si>
  <si>
    <t>Ügyességi pálya tervezése, kialakítása</t>
  </si>
  <si>
    <t>Telepi u.44. Családsegítő és Gyermekjóléti Szolgálat tervezése</t>
  </si>
  <si>
    <t>Térfigyelő rendszer bővítése</t>
  </si>
  <si>
    <t>Hulladékudvar kialakítása</t>
  </si>
  <si>
    <t>Temetőben emlékhelyek kialakítása</t>
  </si>
  <si>
    <t>1.14</t>
  </si>
  <si>
    <t>Temetőben közvilágítás kiépítése</t>
  </si>
  <si>
    <t>1.15</t>
  </si>
  <si>
    <t>Utólagos csatornabekötések</t>
  </si>
  <si>
    <t>1.16</t>
  </si>
  <si>
    <t>1.17</t>
  </si>
  <si>
    <t>1.18</t>
  </si>
  <si>
    <t>1.19</t>
  </si>
  <si>
    <t>Alig utca - Felsőhalom u. szennyvízcsatorna kiépítési költségeinek hozzájárulása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</si>
  <si>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</si>
  <si>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</si>
  <si>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</si>
  <si>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</si>
  <si>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</si>
  <si>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</si>
  <si>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</si>
  <si>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</si>
  <si>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</si>
  <si>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Útépítések, közutak, járdák</t>
  </si>
  <si>
    <t>Úttervezések készítése</t>
  </si>
  <si>
    <t>Hunyadi utca: aszfaltozás</t>
  </si>
  <si>
    <t>2.8</t>
  </si>
  <si>
    <t>Gárdonyi utca aszfaltozási munkái</t>
  </si>
  <si>
    <t>2.9</t>
  </si>
  <si>
    <t>2.10</t>
  </si>
  <si>
    <t>2.11</t>
  </si>
  <si>
    <t>Kispatak lakópark játszótér előtti járda kivitelezése</t>
  </si>
  <si>
    <t>2.12</t>
  </si>
  <si>
    <t>2.13</t>
  </si>
  <si>
    <t>2.14</t>
  </si>
  <si>
    <t>2.15</t>
  </si>
  <si>
    <t>Telepi úti járda viacolor burkolása (Anna utcai kanyartól - Fő útig)</t>
  </si>
  <si>
    <t>2.16</t>
  </si>
  <si>
    <t>Telepi út járda viacolor burkolása (Károly utcától-játszótérig)</t>
  </si>
  <si>
    <t>2.17</t>
  </si>
  <si>
    <t>2.18</t>
  </si>
  <si>
    <t>2.19</t>
  </si>
  <si>
    <t>2.20</t>
  </si>
  <si>
    <t>Járdaépítéshez térkő biztosítása</t>
  </si>
  <si>
    <t>2.21</t>
  </si>
  <si>
    <t>2.22</t>
  </si>
  <si>
    <t>2.23</t>
  </si>
  <si>
    <t>2.24</t>
  </si>
  <si>
    <t>Halmi Téri iskola körüli parkoló (kivitelezés)</t>
  </si>
  <si>
    <t>2.25</t>
  </si>
  <si>
    <t>2.26</t>
  </si>
  <si>
    <t>2.27</t>
  </si>
  <si>
    <t>2.28</t>
  </si>
  <si>
    <t>2.29</t>
  </si>
  <si>
    <t>Csapadékvíz elvezetési munkálatok</t>
  </si>
  <si>
    <t>3.1</t>
  </si>
  <si>
    <t>Lőrinci út: átereszek építése, árok kialakítása</t>
  </si>
  <si>
    <t>3.3</t>
  </si>
  <si>
    <t>P+R parkoló árokburkolás (Lőrinci út)</t>
  </si>
  <si>
    <t>3.4</t>
  </si>
  <si>
    <t>P+R parkoló árokburkolás (belső parkoló)</t>
  </si>
  <si>
    <t>3.5</t>
  </si>
  <si>
    <t>3.6</t>
  </si>
  <si>
    <t>Intézmények, önkormányzati ingatlanok</t>
  </si>
  <si>
    <t>Bálint Ágnes Óvoda engedélyezési, kivitelezési terv</t>
  </si>
  <si>
    <t>Gondozási központ akadálymentesítése 118/2011 (V.24.)</t>
  </si>
  <si>
    <t>4.4</t>
  </si>
  <si>
    <t>4.5</t>
  </si>
  <si>
    <t>4.6</t>
  </si>
  <si>
    <t>INTÉZMÉNYI BERUHÁZÁSOK</t>
  </si>
  <si>
    <t>5.1</t>
  </si>
  <si>
    <t>Polgármesteri  Hivatal tetőfedés csere</t>
  </si>
  <si>
    <t>5.2</t>
  </si>
  <si>
    <t>Polgármesteri  Hivatal külső nyílászáróinak cseréje</t>
  </si>
  <si>
    <t>5.3</t>
  </si>
  <si>
    <t>Polgármesteri Hivatal fűtésrendszer korszerűsítése</t>
  </si>
  <si>
    <t>5.4</t>
  </si>
  <si>
    <t>Polgármesteri Hivatal telefonközpont felújítása</t>
  </si>
  <si>
    <t>5.5</t>
  </si>
  <si>
    <t>5.6</t>
  </si>
  <si>
    <t>Polgármesteri Hivatal udvarának parkosítása</t>
  </si>
  <si>
    <t>5.7</t>
  </si>
  <si>
    <t>Polgármesteri Hivatal külső kerítés felújítás</t>
  </si>
  <si>
    <t>5.8</t>
  </si>
  <si>
    <t>9.1</t>
  </si>
  <si>
    <t>9.2</t>
  </si>
  <si>
    <t>10.1</t>
  </si>
  <si>
    <t>11.1</t>
  </si>
  <si>
    <t>11.2</t>
  </si>
  <si>
    <t>12.1</t>
  </si>
  <si>
    <t>13.1</t>
  </si>
  <si>
    <t>2005.évi eredeti előirányzat</t>
  </si>
  <si>
    <t>2007. évi tervezett előirányzat</t>
  </si>
  <si>
    <t>2008. évi tervezett előirányzat</t>
  </si>
  <si>
    <t>Pályázati céltartalék</t>
  </si>
  <si>
    <t>Pályázatok benyújtásához céltartalék</t>
  </si>
  <si>
    <t>JAM Ház pályázatai:</t>
  </si>
  <si>
    <t xml:space="preserve">     Érdekeltségnövelő pályázat</t>
  </si>
  <si>
    <t>1.1.1.2.</t>
  </si>
  <si>
    <t>TÁMOP pályázatok 1. és 2. kör</t>
  </si>
  <si>
    <t>1.1.1.3.</t>
  </si>
  <si>
    <t xml:space="preserve">     NKA alkotótábor + nomád tábor</t>
  </si>
  <si>
    <t>1.1.1.4.</t>
  </si>
  <si>
    <t xml:space="preserve">     Egyéb pályázatok</t>
  </si>
  <si>
    <t>1.1.6.</t>
  </si>
  <si>
    <t>1.1.7.</t>
  </si>
  <si>
    <t>1.3.3.9.</t>
  </si>
  <si>
    <t xml:space="preserve"> - GYSIM Mobilitas - Alkotótábor</t>
  </si>
  <si>
    <t xml:space="preserve"> - NKA: Alkotütábor</t>
  </si>
  <si>
    <t>- NKA: Szakmai tev., művészeti találkozók támogatása</t>
  </si>
  <si>
    <t xml:space="preserve">- NKA: Szamai előadássorozat </t>
  </si>
  <si>
    <t>-GYISM: Alkotótábor</t>
  </si>
  <si>
    <t>1.1.1.5.</t>
  </si>
  <si>
    <t>- Pest Megye Önk.: Alkotoótábor</t>
  </si>
  <si>
    <t>1.1.1.6.</t>
  </si>
  <si>
    <t>- Érdekeltségnövelő pályázat</t>
  </si>
  <si>
    <t>1.1.1.7.</t>
  </si>
  <si>
    <t>- NKA: Művészetek kisközösségének támogatása</t>
  </si>
  <si>
    <r>
      <t xml:space="preserve">Közterületen elhagyott hulladék begyűjtésére pályázathoz önrész biztosítása </t>
    </r>
    <r>
      <rPr>
        <i/>
        <sz val="8"/>
        <rFont val="Times New Roman"/>
        <family val="1"/>
        <charset val="238"/>
      </rPr>
      <t>(10/2006. Ök. hat.)</t>
    </r>
  </si>
  <si>
    <t>Vállalkozás fejl.pályázati önrész</t>
  </si>
  <si>
    <t xml:space="preserve">Oktatási céltartalék </t>
  </si>
  <si>
    <t>2.2.2</t>
  </si>
  <si>
    <t>2.2.3</t>
  </si>
  <si>
    <t>2.2.4</t>
  </si>
  <si>
    <t>2.2.5</t>
  </si>
  <si>
    <t>Tábori pályázatok</t>
  </si>
  <si>
    <t>Egyéb (néptánc, kult.kiadv., sport, egyéb)</t>
  </si>
  <si>
    <t>Néptánc, színjátszás</t>
  </si>
  <si>
    <t>Sportutánpótlás</t>
  </si>
  <si>
    <t>Reprezentációs anyag</t>
  </si>
  <si>
    <t>Kulturális kiadványok</t>
  </si>
  <si>
    <t>Ünnepségek, rendezvények</t>
  </si>
  <si>
    <t>Nevelési tanácsadó</t>
  </si>
  <si>
    <t>Szakértői díj</t>
  </si>
  <si>
    <t>Tartalék</t>
  </si>
  <si>
    <t>Egyéb céltartalék</t>
  </si>
  <si>
    <t>Családsegítő nyári tábor</t>
  </si>
  <si>
    <t>Oktatási Bizottság kerete</t>
  </si>
  <si>
    <t>Sport Bizottság kerete</t>
  </si>
  <si>
    <t>Iskolák közötti sportvereseny</t>
  </si>
  <si>
    <t>Mezőgazdasági céltartalék</t>
  </si>
  <si>
    <t>3.7</t>
  </si>
  <si>
    <t>Felmentések, végkielégítések egyéb tartalék</t>
  </si>
  <si>
    <t>3.8</t>
  </si>
  <si>
    <t>Közbeszerzési eljárások lefolytatása ( eljárási díjak, dokumentációk, hirdetménydíjak)</t>
  </si>
  <si>
    <t>3.9</t>
  </si>
  <si>
    <t>Rendezetlen ingatlanok kényszerrendbetétele</t>
  </si>
  <si>
    <t>3.11</t>
  </si>
  <si>
    <t>Környezetvédelmi keret</t>
  </si>
  <si>
    <t>Környezetvédelem</t>
  </si>
  <si>
    <t>Parlagfű elleni védekezés</t>
  </si>
  <si>
    <t>Külterületen elszórt hulladékok összegyűjtése</t>
  </si>
  <si>
    <t>3.12</t>
  </si>
  <si>
    <t>3.13</t>
  </si>
  <si>
    <t>Testvérvárosi kapcsolatok</t>
  </si>
  <si>
    <t>3.14</t>
  </si>
  <si>
    <t>Rendezvények támogatása</t>
  </si>
  <si>
    <t>Vers és prózamondó verseny</t>
  </si>
  <si>
    <t>Lóti-Futi futóverseny</t>
  </si>
  <si>
    <t>Június 14. újratelepítési ünnep</t>
  </si>
  <si>
    <t>Augusztus 20.</t>
  </si>
  <si>
    <t>Október 06.</t>
  </si>
  <si>
    <t>Október 23.</t>
  </si>
  <si>
    <t>3.15</t>
  </si>
  <si>
    <t>Művelődési Ház által szervezett rendezvények és egyéb feladatok</t>
  </si>
  <si>
    <t>Alkotótábor</t>
  </si>
  <si>
    <t>Művészeti csoportok támogatása</t>
  </si>
  <si>
    <t>Program előkészítés</t>
  </si>
  <si>
    <t xml:space="preserve">Szerzői jogdíj </t>
  </si>
  <si>
    <t>3.16</t>
  </si>
  <si>
    <t>Városi rendezvények</t>
  </si>
  <si>
    <t>3.17</t>
  </si>
  <si>
    <t>3.18</t>
  </si>
  <si>
    <t>Jubileumi házassági évfordulók</t>
  </si>
  <si>
    <t>3.19</t>
  </si>
  <si>
    <t>Reprezentációs keret</t>
  </si>
  <si>
    <t>90., 95. és 100. évesek ajándékozása</t>
  </si>
  <si>
    <t>3.21</t>
  </si>
  <si>
    <t>3.22</t>
  </si>
  <si>
    <t>Városközpont-fejlesztő Kft felügyelő bizottsági tagok díjazása 182/2009. (VIII.31.)</t>
  </si>
  <si>
    <t>3.23</t>
  </si>
  <si>
    <t>Városközpont-fejlesztő Kft megbízási szerződésének meghosszabbítása a városközpont projektre</t>
  </si>
  <si>
    <t>3.24</t>
  </si>
  <si>
    <t>3.25</t>
  </si>
  <si>
    <t>Életjáradék</t>
  </si>
  <si>
    <t>3.26</t>
  </si>
  <si>
    <t>3.27</t>
  </si>
  <si>
    <t>3.28</t>
  </si>
  <si>
    <t>Elismerő címek, díjak, kitüntetések</t>
  </si>
  <si>
    <t>belső forgalomtechnika</t>
  </si>
  <si>
    <t>Esetenkénti tervezési feladatok</t>
  </si>
  <si>
    <t>Céltartalék összesen</t>
  </si>
  <si>
    <t>2009. évi tervezet</t>
  </si>
  <si>
    <t>Air LED pályázat</t>
  </si>
  <si>
    <t>Vis major keret</t>
  </si>
  <si>
    <t>Városi fejlesztésekre céltartalék</t>
  </si>
  <si>
    <t>MEGNEVEZÉS</t>
  </si>
  <si>
    <t>II.</t>
  </si>
  <si>
    <t>III.</t>
  </si>
  <si>
    <t>IV.</t>
  </si>
  <si>
    <t>Összesen:</t>
  </si>
  <si>
    <t>Függő, átfutó, kiegyenlítő bevételek</t>
  </si>
  <si>
    <t>Függő, átfutó, kiegyenlítő kiadások</t>
  </si>
  <si>
    <t>Költségvetési szervek finanszírozása</t>
  </si>
  <si>
    <t>1.4.2</t>
  </si>
  <si>
    <t>1.4.3.1</t>
  </si>
  <si>
    <t>1.4.3.2</t>
  </si>
  <si>
    <t>1.4.3.3</t>
  </si>
  <si>
    <t>1.4.3.4</t>
  </si>
  <si>
    <t>1.4.3.5</t>
  </si>
  <si>
    <t>1.4.3.6</t>
  </si>
  <si>
    <t>1.4.3.7</t>
  </si>
  <si>
    <t>1.4.3.8</t>
  </si>
  <si>
    <t>1.4.4.</t>
  </si>
  <si>
    <t xml:space="preserve"> - Lakosságnak juttatott támogatások</t>
  </si>
  <si>
    <t xml:space="preserve"> - Ellátottak pénzbeli juttatásai</t>
  </si>
  <si>
    <t xml:space="preserve"> - Működési célú pénzmaradvány átadás</t>
  </si>
  <si>
    <t xml:space="preserve"> - Működési célú pénzeszköz átadás államháztartáson kívülre</t>
  </si>
  <si>
    <t xml:space="preserve"> - Működési célú támogatásértékű kiadás</t>
  </si>
  <si>
    <t xml:space="preserve"> - Garancia és kezességvállalásból származó kifizetés</t>
  </si>
  <si>
    <t xml:space="preserve"> - Kamatkiadások</t>
  </si>
  <si>
    <t xml:space="preserve"> - Pénzforgalom nélküli kiadások</t>
  </si>
  <si>
    <t>4.4.</t>
  </si>
  <si>
    <t>4.7</t>
  </si>
  <si>
    <t>4.2.</t>
  </si>
  <si>
    <t>8.1</t>
  </si>
  <si>
    <t>8.2</t>
  </si>
  <si>
    <t>KIADÁSOK ÖSSZESEN:</t>
  </si>
  <si>
    <t>Működési kiadások összesen:</t>
  </si>
  <si>
    <t>4.7.1</t>
  </si>
  <si>
    <t>4.7.2.</t>
  </si>
  <si>
    <t>I/1. Közhatalmi bevételek (2.1.+…+.2.6.)</t>
  </si>
  <si>
    <t>Támogatásértékű működési bevételek Egyéb nem önk.</t>
  </si>
  <si>
    <t>Működési bevételek összesen:</t>
  </si>
  <si>
    <t>Felhalmozási bevételek összesen:</t>
  </si>
  <si>
    <t>BEVÉTELEK ÖSSZESEN</t>
  </si>
  <si>
    <t>Támogatások összesen:</t>
  </si>
  <si>
    <t>Halmozódás kiszűrése</t>
  </si>
  <si>
    <t>7.2</t>
  </si>
  <si>
    <t>Semmelwies Bölcsőde</t>
  </si>
  <si>
    <t>14.1</t>
  </si>
  <si>
    <t>13.2</t>
  </si>
  <si>
    <t>5.9</t>
  </si>
  <si>
    <t>5.10.</t>
  </si>
  <si>
    <t>Vagyongazdálkodás Klíma</t>
  </si>
  <si>
    <t>1.29</t>
  </si>
  <si>
    <t>1.30</t>
  </si>
  <si>
    <t>2.30</t>
  </si>
  <si>
    <t>2.31</t>
  </si>
  <si>
    <t>2.32</t>
  </si>
  <si>
    <t>2.33</t>
  </si>
  <si>
    <t>2.34</t>
  </si>
  <si>
    <t>1.31</t>
  </si>
  <si>
    <t>1.32</t>
  </si>
  <si>
    <t>4.8</t>
  </si>
  <si>
    <t>4.9</t>
  </si>
  <si>
    <t>1.6.2.30</t>
  </si>
  <si>
    <t>1.6.2.31</t>
  </si>
  <si>
    <t>1.6.2.32</t>
  </si>
  <si>
    <t>Kisspista Színház</t>
  </si>
  <si>
    <t>1.6.2.33</t>
  </si>
  <si>
    <t>VSE Őkölvívó Szakosztály</t>
  </si>
  <si>
    <t>1.6.2.34</t>
  </si>
  <si>
    <t>VFC Old Boys csapata</t>
  </si>
  <si>
    <t>1.6.2.35</t>
  </si>
  <si>
    <t>BVSC Nagy. N. Szinkronúszó</t>
  </si>
  <si>
    <t>1.6.2.36</t>
  </si>
  <si>
    <t>Kőbányai SC Sárkány V.Bírkózó</t>
  </si>
  <si>
    <t>1.6.2.37</t>
  </si>
  <si>
    <t>Sandan Karate Közh.SE</t>
  </si>
  <si>
    <t>Felhalmozási célú pénzeszközátadás</t>
  </si>
  <si>
    <t xml:space="preserve">Lakóingatlan lakbér </t>
  </si>
  <si>
    <t>Függő,átfutó,kiegyenlítő kiadások</t>
  </si>
  <si>
    <t>Működési célú pénzeszközátvétel Társulattól</t>
  </si>
  <si>
    <t>Végleges pe.átvétel Áh.kivülről Felhalmozási</t>
  </si>
  <si>
    <t>Felhalmozási c.pe.átv.Áh.kivülről</t>
  </si>
  <si>
    <t>2013. évi Eredeti előirányzat</t>
  </si>
  <si>
    <t>2013. évi terv</t>
  </si>
  <si>
    <t>2013. évi Terv</t>
  </si>
  <si>
    <t>Ezer Forint</t>
  </si>
  <si>
    <t>Városközpont átadásáig felmerülő költségek (JAM Ház, Könyvtár költözése…)</t>
  </si>
  <si>
    <t>Mindenki karácsonya</t>
  </si>
  <si>
    <t>Egyéb banki járulékok (tranzakciós illetékkel együtt)</t>
  </si>
  <si>
    <t>Beruházásokhoz kapcsolódó kertészet</t>
  </si>
  <si>
    <t>Energetikai pályázat</t>
  </si>
  <si>
    <t>Iskolák szakmai feladatai</t>
  </si>
  <si>
    <t>2013. évi előirányzat</t>
  </si>
  <si>
    <t>Bérleti és lízing díjbevétel/Tartós bérelti díjak/</t>
  </si>
  <si>
    <t xml:space="preserve"> - Egyéb építmény bérbeadása (DPMV Zrt.)</t>
  </si>
  <si>
    <t>Önkormányzatok működésének támogatása</t>
  </si>
  <si>
    <t>Cigány Nemzetiségi Önkormányzat</t>
  </si>
  <si>
    <t>Gépkocsi vásárlás</t>
  </si>
  <si>
    <t>Hulladék lerakási pótdíj</t>
  </si>
  <si>
    <t xml:space="preserve">Egyéb bevételek </t>
  </si>
  <si>
    <t>2.8.2</t>
  </si>
  <si>
    <t>2.8.3</t>
  </si>
  <si>
    <t>2.8.4</t>
  </si>
  <si>
    <t>2.8.5</t>
  </si>
  <si>
    <t xml:space="preserve"> - VFC támogatás </t>
  </si>
  <si>
    <t xml:space="preserve">Egyéb pe. Átadás DPMV Zrt. </t>
  </si>
  <si>
    <t>Könyv nyomdai költségek 9/2013. (I. 29.) határozat</t>
  </si>
  <si>
    <t>Üllő</t>
  </si>
  <si>
    <t>1.3.1.1.5.</t>
  </si>
  <si>
    <t xml:space="preserve">          Feladatalapú és kiegészítő támogatás      </t>
  </si>
  <si>
    <t xml:space="preserve">Feladatalapú és kiegészítő támogatás                              / Gyömrő hívja le /   </t>
  </si>
  <si>
    <t>Hulladéklerakók Pály.Önrész</t>
  </si>
  <si>
    <t xml:space="preserve">Tanulmányi verseny </t>
  </si>
  <si>
    <t>Iskolák közötti sportvereseny (tárgyi jutalmak)</t>
  </si>
  <si>
    <t>1.1.2.1.1.4</t>
  </si>
  <si>
    <t>1.1.2.1.1.5</t>
  </si>
  <si>
    <t xml:space="preserve"> - Grassalkovich Antal Általános Iskola</t>
  </si>
  <si>
    <t xml:space="preserve"> - Halmi Téri Általános Iskola</t>
  </si>
  <si>
    <t xml:space="preserve"> - Gr. Andrássy Gyula Általános Iskola</t>
  </si>
  <si>
    <t xml:space="preserve"> - Városgazdálkodás</t>
  </si>
  <si>
    <t xml:space="preserve"> - Zeneiskola</t>
  </si>
  <si>
    <t>Népdalkör Népzenei tábor</t>
  </si>
  <si>
    <t>Concerto Haramoniaénekkar támogatása</t>
  </si>
  <si>
    <t>Kispista színház támogatása</t>
  </si>
  <si>
    <t>Kiállítások ( 11 alkalom )</t>
  </si>
  <si>
    <t>tanfolyamok, oktatások</t>
  </si>
  <si>
    <t>Színház felnőtteknek</t>
  </si>
  <si>
    <t>Gyermekelőadások kisiskolások, ovisok</t>
  </si>
  <si>
    <t>Könnyűzenei koncertek</t>
  </si>
  <si>
    <t>Népzene, néptánc</t>
  </si>
  <si>
    <t>Tánc előadás</t>
  </si>
  <si>
    <t>Művészeti szakmai vezetők tiszteletdíja</t>
  </si>
  <si>
    <t>Bálint Ágnes Kultúrvár megnyitó ünnepség</t>
  </si>
  <si>
    <t>2.2.6</t>
  </si>
  <si>
    <t>2.2.7</t>
  </si>
  <si>
    <t>2.2.8</t>
  </si>
  <si>
    <t>3.9.1</t>
  </si>
  <si>
    <t>3.9.2</t>
  </si>
  <si>
    <t>3.9.3</t>
  </si>
  <si>
    <t>3.10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</si>
  <si>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</si>
  <si>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</si>
  <si>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</si>
  <si>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</si>
  <si>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</si>
  <si>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</si>
  <si>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</si>
  <si>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</si>
  <si>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</si>
  <si>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</si>
  <si>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3.12.1</t>
  </si>
  <si>
    <t>3.12.2</t>
  </si>
  <si>
    <t>3.12.3</t>
  </si>
  <si>
    <t>3.12.4</t>
  </si>
  <si>
    <t>3.12.5</t>
  </si>
  <si>
    <t>3.12.6</t>
  </si>
  <si>
    <t>3.12.7</t>
  </si>
  <si>
    <t>3.12.8</t>
  </si>
  <si>
    <t>3.12.9</t>
  </si>
  <si>
    <t>3.12.10</t>
  </si>
  <si>
    <t>3.12.11</t>
  </si>
  <si>
    <t>3.12.12</t>
  </si>
  <si>
    <t>3.12.13</t>
  </si>
  <si>
    <t>3.12.14</t>
  </si>
  <si>
    <t>3.12.15</t>
  </si>
  <si>
    <t>3.12.16</t>
  </si>
  <si>
    <t>3.12.17</t>
  </si>
  <si>
    <t>3.20</t>
  </si>
  <si>
    <t>Felhasználás
2012. XII.31-ig</t>
  </si>
  <si>
    <t xml:space="preserve">
2013. év utáni szükséglet
</t>
  </si>
  <si>
    <t>Út- és járda felújítások</t>
  </si>
  <si>
    <t>Eötvös utca Vértesi utca felújítása</t>
  </si>
  <si>
    <t>2013. év utáni szükséglet
(6=2 - 4 - 5)</t>
  </si>
  <si>
    <t>Halmi téri szobor elhelyezése (I. részlet)</t>
  </si>
  <si>
    <t>Szabadidőpark tervezése</t>
  </si>
  <si>
    <t>Fő út melletti szabadidő park kialakítása</t>
  </si>
  <si>
    <t>Buszvárók tájékoztató tábláinak cseréje</t>
  </si>
  <si>
    <t>Petőfi téren elhelyezendő utcabútorok</t>
  </si>
  <si>
    <t>Petőfi téri fák köré rácsos lezáró telepítése</t>
  </si>
  <si>
    <t>Halmy József téri játszótér kerítés építése</t>
  </si>
  <si>
    <t>Ravatalozó  kiviteli tervezése</t>
  </si>
  <si>
    <t>Ravatalozó egyéb költségei</t>
  </si>
  <si>
    <t>Epres területén elektromos csatlakozási helyek kiépítése</t>
  </si>
  <si>
    <t>Meglévő térfigyelő rendszer karbantartásához eszközök bizt.</t>
  </si>
  <si>
    <r>
      <t xml:space="preserve">Lőrinci út, Széchenyi u. </t>
    </r>
    <r>
      <rPr>
        <sz val="12"/>
        <rFont val="Times New Roman"/>
        <family val="1"/>
        <charset val="238"/>
      </rPr>
      <t>ivóvízellátása és szennyvízcsatorna kivitelezése</t>
    </r>
  </si>
  <si>
    <t>Út- és járdaépítések</t>
  </si>
  <si>
    <t>Virág utca  útépítése</t>
  </si>
  <si>
    <t>Wass A. u. aszfaltozási munkák</t>
  </si>
  <si>
    <t>Görgey u. útépítési munkák</t>
  </si>
  <si>
    <t>Ecseri úti járda építése Temető előtt Mátyás utcáig</t>
  </si>
  <si>
    <t>Telepi úti járda viacolor burkolása (gyógyszertártól - Anna utcáig)</t>
  </si>
  <si>
    <t>Károly utcai járda ( Attila utcától- Álmos utcáig) egy oldalon</t>
  </si>
  <si>
    <t>Eötvös utca egyoldali járda építése Miklós utca Károly utca között</t>
  </si>
  <si>
    <t>Kinizsi utca Dózs Gy u. Bercsényi utca közötti járda felújítása</t>
  </si>
  <si>
    <t>"Vashídhoz" vezető járda építése (Virág u.- Ádám u.)</t>
  </si>
  <si>
    <t>Halmi Téri iskola, óvoda előtt forg. Csillapító küszöb építése</t>
  </si>
  <si>
    <t>Egyéb csapadékvíz elvezetési munkálatok</t>
  </si>
  <si>
    <t>Budai N. A. utca: árokmeder burkolás (Zrínyi u. - Gyáli Patak)</t>
  </si>
  <si>
    <t>Művelődési ház és városi könyvtár épület tanusítványok, egyéb</t>
  </si>
  <si>
    <t>Eötvös utca 17. sz. ingatlan második részének megvétele, egyéb ktg.</t>
  </si>
  <si>
    <t>Küküllői utca 32. sz. ingatlan megvétele</t>
  </si>
  <si>
    <t>Polgármesteri  Hivatal külső hőszigetelése</t>
  </si>
  <si>
    <t>Polgármesteri hivatal beléptető rendszer kialakítása</t>
  </si>
  <si>
    <t>5.1. sz. mellékleet</t>
  </si>
  <si>
    <t>5.3. sz.melléklet</t>
  </si>
  <si>
    <t>5.7. sz. melléklet</t>
  </si>
  <si>
    <t>5.9. sz. melléklet</t>
  </si>
  <si>
    <t>5.11. sz.melléklet</t>
  </si>
  <si>
    <t>Intézmények működési bevételei Vecsés</t>
  </si>
  <si>
    <t>Intézmények működési bevételei Gyömrő</t>
  </si>
  <si>
    <t>Városgazdálkodás ( Iskolák technikai dolgozói)</t>
  </si>
  <si>
    <t xml:space="preserve"> -Gépjárműadó (40%)</t>
  </si>
  <si>
    <t>2013. év</t>
  </si>
  <si>
    <t>2011. évi teljesítés</t>
  </si>
  <si>
    <t>2012. évi várható</t>
  </si>
  <si>
    <t>BEVÉTELEK</t>
  </si>
  <si>
    <t>MŰKÖDÉSI KÖLTSÉGVETÉSI BEVÉTELEK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</si>
  <si>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</si>
  <si>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</si>
  <si>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Kiemelt előirányzatok</t>
  </si>
  <si>
    <t>Működési célú támogatás Áht.-on belülről</t>
  </si>
  <si>
    <t>Elkülönített állami pénzalapból</t>
  </si>
  <si>
    <t>Társadalombiztosítás pénzügyi alapjaiból</t>
  </si>
  <si>
    <t>Helyi önkormányzattól</t>
  </si>
  <si>
    <t>Nemzetiségi önkormányzattól</t>
  </si>
  <si>
    <t>Térségi fejlesztési tanácstól az Áht.központi  alrendszerén belülről kapott európai uniós forrásból származó pénzeszközből</t>
  </si>
  <si>
    <t>Fejezeti kezelésű előirányzat bevételként elszámolható összegből</t>
  </si>
  <si>
    <t>A központi költségvetés előirányzat-módosítási kötelezettség nélkül túlteljesíthető előirányzatból</t>
  </si>
  <si>
    <t>Adók</t>
  </si>
  <si>
    <t>Járulékok</t>
  </si>
  <si>
    <t>Hozzájárulások</t>
  </si>
  <si>
    <t>Bírságok</t>
  </si>
  <si>
    <t>Díjak</t>
  </si>
  <si>
    <t>Más fizetési kötelezettségek</t>
  </si>
  <si>
    <t>Intézményi működési bevétel</t>
  </si>
  <si>
    <t>Áru-és készletértékesítés</t>
  </si>
  <si>
    <t>Bérleti díj bevételek</t>
  </si>
  <si>
    <t>Áfa bevételek</t>
  </si>
  <si>
    <t>Hozam -és kamatbevételek</t>
  </si>
  <si>
    <t>Működési célú átvett pénzeszköz</t>
  </si>
  <si>
    <t>Előző évi előirányzat maradvány, pénzmaradvány, valamint a vállalkozási maradvány alaptevékenység ellátására történő igénybevétele</t>
  </si>
  <si>
    <t>FELHALMOZÁSI KÖLTSÉGVETÉSI BEVÉTELEK</t>
  </si>
  <si>
    <t>Felhalmozási célú támogatás Áht.-on belülről</t>
  </si>
  <si>
    <t>Felhalmozási bevétel</t>
  </si>
  <si>
    <t xml:space="preserve">  tárgyi eszközök és immateriális javak értékesítése</t>
  </si>
  <si>
    <t xml:space="preserve">  pénzügyi befektetések bevételei</t>
  </si>
  <si>
    <t>Felhalmozási célú átvett pénzeszköz</t>
  </si>
  <si>
    <t>MŰKÖDÉSI FINANSZÍROZÁSI BEVÉTELEK</t>
  </si>
  <si>
    <t xml:space="preserve"> Befektetési vagy forgatási célú hitelviszonyt megtestesítő értékpapír kibocsátása, értékesítése, beváltása az eladási árban elismert kamat kivételével</t>
  </si>
  <si>
    <t>Hosszú lejáratú hitel felvétele</t>
  </si>
  <si>
    <t>Rövid lejáratú hitel felvétele</t>
  </si>
  <si>
    <t>Kölcsön felvétele</t>
  </si>
  <si>
    <t>Szabad pénzeszközök betétként való elhelyezése</t>
  </si>
  <si>
    <t>Költségvetési maradvány, vállalkozási maradvány</t>
  </si>
  <si>
    <t>Irányító szervi támogatásként folyósított támogatás fizetési számlán történő jóváírása</t>
  </si>
  <si>
    <t>FELHALMOZÁSI FINANSZÍROZÁSI BEVÉTELEK</t>
  </si>
  <si>
    <t>Befektetési vagy forgatási célú hitelviszonyt megtestesítő értékpapír kibocsátása, értékesítése, beváltása az eladási árban elismert kamat kivételével</t>
  </si>
  <si>
    <t>BEVÉTELEK MINDÖSSZESEN</t>
  </si>
  <si>
    <t>KIADÁSOK</t>
  </si>
  <si>
    <t>MŰKÖDÉSI KÖLTSÉGVETÉSI KIADÁSOK</t>
  </si>
  <si>
    <t>Céltartalék</t>
  </si>
  <si>
    <t>FELHALMOZÁSI KÖLTSÉGVETÉSI KIADÁSOK</t>
  </si>
  <si>
    <t>Beruházások</t>
  </si>
  <si>
    <t>Egyéb felhalmozási kiadások</t>
  </si>
  <si>
    <t>MŰKÖDÉSI FINANSZÍROZÁSI KIADÁSOK</t>
  </si>
  <si>
    <t>Befektetési vagy forgatási célú hitelviszonyt megtestesítő értékpapír vásárlása a vételárban elismert kamat kivételével</t>
  </si>
  <si>
    <t>Hosszú lejáratú hitel tőkeösszegének törlesztése</t>
  </si>
  <si>
    <t>Rövid lejáratú hitel tőkeösszegének törlesztése</t>
  </si>
  <si>
    <t>Kölcsön tőkeösszegének törlesztése</t>
  </si>
  <si>
    <t>Szabad pénzeszközök betétként való visszavonása</t>
  </si>
  <si>
    <t>Pénzügyi lízing lízingbevevői félként a lízíingszerződésben kikötött tőkerész törlesztésére teljesített kiadások</t>
  </si>
  <si>
    <t>Irányító szervi támogatásként folyósított támogatás kiutalása</t>
  </si>
  <si>
    <t>FELHALMOZÁSI FINANSZÍROZÁSI KIADÁSOK</t>
  </si>
  <si>
    <t>KIADÁSOK MINDÖSSZESEN</t>
  </si>
  <si>
    <t>Felhalmozási finanszírozási kiadások összesen:</t>
  </si>
  <si>
    <t>Felhalmozási finanszírozási bevételek összesen:</t>
  </si>
  <si>
    <t>Működési finanszírozási bevételek összesen:</t>
  </si>
  <si>
    <t>Felhalmozási költségvetési bevételek összesen:</t>
  </si>
  <si>
    <t>Működési finanszírozási kiadások összesen:</t>
  </si>
  <si>
    <t>Családi Vasárnap ( 6 alkalom)</t>
  </si>
  <si>
    <t>Kötelező feladatok
(Mötv. 13. § (1) bekezdés alapján)</t>
  </si>
  <si>
    <t>Feladatmutató 2013. évi
értéke</t>
  </si>
  <si>
    <t xml:space="preserve">Költségvetési kiadási előirányzat                         </t>
  </si>
  <si>
    <t xml:space="preserve">Költségvetési bevételi előirányzat                           </t>
  </si>
  <si>
    <t>Saját bevétel</t>
  </si>
  <si>
    <t>Támogatás Áht-n belülről</t>
  </si>
  <si>
    <t>Működési célú</t>
  </si>
  <si>
    <t>Felhalmozási célú</t>
  </si>
  <si>
    <t>Felhalmozási bevételek</t>
  </si>
  <si>
    <t>Településfejlesztés</t>
  </si>
  <si>
    <t>Településrendezés</t>
  </si>
  <si>
    <t>Településüzemeltetés</t>
  </si>
  <si>
    <t xml:space="preserve">  Köztemetők kialakítása és fenntartása</t>
  </si>
  <si>
    <t xml:space="preserve">  Közvilágításról való gondoskodás</t>
  </si>
  <si>
    <t xml:space="preserve"> </t>
  </si>
  <si>
    <t xml:space="preserve">  Kéményseprő-ipari szolgáltatás biztosítása</t>
  </si>
  <si>
    <t xml:space="preserve">  A helyi közutak és tartozékainak kialakítása és fenntartása</t>
  </si>
  <si>
    <t xml:space="preserve">  Közparkok és egyéb közterületek kialakítása és fenntartása</t>
  </si>
  <si>
    <t xml:space="preserve">  Gépjárművek parkolásának biztosítása</t>
  </si>
  <si>
    <t>Közterületek, valamint az önkormányzat tulajdonában álló közintézmény elnevezése</t>
  </si>
  <si>
    <t>Egészségügyi alapellátás</t>
  </si>
  <si>
    <t>Az egészséges életmód segítését célzó szolgáltatások</t>
  </si>
  <si>
    <t>Környezet-egészségügy</t>
  </si>
  <si>
    <t xml:space="preserve">  Köztisztaság</t>
  </si>
  <si>
    <t xml:space="preserve">  Települési környezet tisztaságának biztosítása</t>
  </si>
  <si>
    <t xml:space="preserve">  Rovar-és rágcsáróírtás</t>
  </si>
  <si>
    <t>Óvodai ellátás</t>
  </si>
  <si>
    <t>Kulturális szolgáltatás</t>
  </si>
  <si>
    <t xml:space="preserve">  Nyilvános könyvtári ellátás biztosítása</t>
  </si>
  <si>
    <t xml:space="preserve">  Filmszínház, előadó-művészeti szervezet támogatása</t>
  </si>
  <si>
    <t xml:space="preserve">  A kulturális örökség helyi védelme</t>
  </si>
  <si>
    <t xml:space="preserve">  A helyi közművelődési tevékenység támogatása</t>
  </si>
  <si>
    <t>Szociális, gyermekjóléti szolgáltatások és ellátások</t>
  </si>
  <si>
    <t>Lakás-és helyiséggazdálkodás</t>
  </si>
  <si>
    <t>Helyi környezet-és természetvédelem</t>
  </si>
  <si>
    <t>Vízgazdálkodás</t>
  </si>
  <si>
    <t>Vízkárelhárítás</t>
  </si>
  <si>
    <t>Honvédelem</t>
  </si>
  <si>
    <t>Polgári védelem</t>
  </si>
  <si>
    <t>Katasztrófavédelem</t>
  </si>
  <si>
    <t>Helyi közfoglalkoztatás</t>
  </si>
  <si>
    <t>Helyi adóval, gazdaságszervezéssel és a turizmussal kapcsolatos feladatok</t>
  </si>
  <si>
    <t>A kistermelők, őstermelők számára értékesítési lehetőségeinek biztosítása, ideértve a hétvégi árusítás lehetőségét is</t>
  </si>
  <si>
    <t>Sport, ifjúsági ügyek</t>
  </si>
  <si>
    <t>Nemzetiségi ügyek</t>
  </si>
  <si>
    <t>Közreműködés a település közbiztonságának biztosításában</t>
  </si>
  <si>
    <t>Helyi közösségi közlekedés biztosítása</t>
  </si>
  <si>
    <t>Hulladékgazdálkodás</t>
  </si>
  <si>
    <t>Távhőszolgáltatás</t>
  </si>
  <si>
    <t>Víziközmű szolgáltatás</t>
  </si>
  <si>
    <r>
      <t xml:space="preserve">Az Mötv. a 117-118. §-ai az alábbiakat tartalmazzák:
A feladatfinanszírozási rendszer keretében az Országgyűlés a központi költségvetésről szóló törvényben meghatározott módon a helyi önkormányzatok
a) kötelezően ellátandó, törvényben előírt egyes feladatainak - felhasználási kötöttséggel - a feladatot meghatározó jogszabályban megjelölt közszolgáltatási szintnek megfelelő ellátását </t>
    </r>
    <r>
      <rPr>
        <b/>
        <sz val="16"/>
        <color theme="1"/>
        <rFont val="Times New Roman"/>
        <family val="1"/>
        <charset val="238"/>
      </rPr>
      <t>feladatalapú támogatással biztosítja</t>
    </r>
    <r>
      <rPr>
        <sz val="16"/>
        <color theme="1"/>
        <rFont val="Times New Roman"/>
        <family val="1"/>
        <charset val="238"/>
      </rPr>
      <t xml:space="preserve">, vagy azok ellátásához a feladat, a helyi szükségletek alapján jellemző mutatószámok, illetve a lakosságszám alapján támogatást biztosít,
b) az a) pontba nem tartozó feladatainak ellátásához felhasználási kötöttséggel járó, vagy felhasználási kötöttség nélküli támogatást nyújthat.
A támogatás biztosítása a következő szempontok figyelembe vételével történik:
a) takarékos gazdálkodás,
b) a helyi önkormányzat jogszabályon alapuló, elvárható saját bevétele,
c) a helyi önkormányzat tényleges saját bevétele.
A figyelembe veendő bevételek körét és mértékét törvény határozza meg.
A feladatfinanszírozási rendszernek biztosítania kell a helyi önkormányzatok bevételi érdekeltségének fenntartását.
</t>
    </r>
    <r>
      <rPr>
        <b/>
        <u/>
        <sz val="16"/>
        <color theme="1"/>
        <rFont val="Times New Roman"/>
        <family val="1"/>
        <charset val="238"/>
      </rPr>
      <t xml:space="preserve">A támogatást a helyi önkormányzat éves szinten kizárólag az ellátandó feladatainak kiadásaira fordíthatja.
</t>
    </r>
    <r>
      <rPr>
        <sz val="16"/>
        <color theme="1"/>
        <rFont val="Times New Roman"/>
        <family val="1"/>
        <charset val="238"/>
      </rPr>
      <t xml:space="preserve">Az ettől eltérő felhasználás esetén a helyi önkormányzat köteles a támogatás összegét - az államháztartásról szóló törvényben meghatározott kamatokkal terhelve - a központi költségvetésbe visszafizetni.
</t>
    </r>
  </si>
  <si>
    <t xml:space="preserve">Önként vállalt feladatok                                                                    </t>
  </si>
  <si>
    <t>Működési célú (OEP is)</t>
  </si>
  <si>
    <r>
      <t xml:space="preserve">Az Mötv. 10. §-a szerint az önként vállalt helyi közügyek megoldása nem veszélyeztetheti a törvény által kötelezően előírt önkormányzati feladat- és hatáskörök ellátását,
finanszírozása a </t>
    </r>
    <r>
      <rPr>
        <b/>
        <sz val="16"/>
        <color theme="1"/>
        <rFont val="Times New Roman"/>
        <family val="1"/>
        <charset val="238"/>
      </rPr>
      <t>saját bevételek</t>
    </r>
    <r>
      <rPr>
        <sz val="16"/>
        <color theme="1"/>
        <rFont val="Times New Roman"/>
        <family val="1"/>
        <charset val="238"/>
      </rPr>
      <t>, vagy az erre a célra biztosított külön források terhére lehetséges.</t>
    </r>
  </si>
  <si>
    <t>Államigazgatási feladatok 
(Mötv. 18. § alapján)</t>
  </si>
  <si>
    <r>
      <rPr>
        <b/>
        <sz val="16"/>
        <color theme="1"/>
        <rFont val="Times New Roman"/>
        <family val="1"/>
        <charset val="238"/>
      </rPr>
      <t xml:space="preserve">Államigazgatási feladat- és hatáskörök
</t>
    </r>
    <r>
      <rPr>
        <sz val="16"/>
        <color theme="1"/>
        <rFont val="Times New Roman"/>
        <family val="1"/>
        <charset val="238"/>
      </rPr>
      <t xml:space="preserve">
18. § (1) Ha törvény vagy törvényi felhatalmazáson alapuló kormányrendelet a polgármester, a főpolgármester, a megyei közgyűlés elnöke, valamint a jegyző
a) számára államigazgatási feladat- és hatáskört állapít meg, vagy
b) honvédelmi, polgári védelmi, katasztrófaelhárítási ügyekben az országos államigazgatási feladatok helyi irányításában és végrehajtásában való részvételét rendeli el,
az ellátásukhoz szükséges költségvetési támogatást a központi költségvetés biztosítja.
(2) Ha a polgármester, a főpolgármester, a megyei közgyűlés elnöke, a jegyző az (1) bekezdés szerinti államigazgatási feladat- és hatáskörében jár el, a képviselő-testület, közgyűlés nem utasíthatja, döntését nem bírálhatja felül.
</t>
    </r>
  </si>
  <si>
    <t xml:space="preserve">Vecsés Város Önkormányzat önként vállalt feladatai ellátásának költségvetési forrásai és kiadásai </t>
  </si>
  <si>
    <t>Vecsés Város Önkormányzat államigazgatási feladatai</t>
  </si>
  <si>
    <t>Bölcsödei ellátás</t>
  </si>
  <si>
    <t>Idősek gondozása</t>
  </si>
  <si>
    <t>Családsegítő-, és gyermekjóléti szolgálat</t>
  </si>
  <si>
    <t>Étkeztetés</t>
  </si>
  <si>
    <t>A területén hajléktalanná vált személyek ellátásának és rehabilitációjának, valamint a hajléktalanná válás megelőzésének biztosítása</t>
  </si>
  <si>
    <t>Pénzbeli szociális ellátások</t>
  </si>
  <si>
    <t>Feladatalapú támogatás</t>
  </si>
  <si>
    <t>Egyéb működési célú támogatás Áht-n belűlről</t>
  </si>
  <si>
    <t xml:space="preserve">Egyéb felhalmozási célú támogatás Áht-n belűlről </t>
  </si>
  <si>
    <t>Támogatások, kiegészítések központi költségvetéstől</t>
  </si>
  <si>
    <t>Támogatás Áht-n belűlről</t>
  </si>
  <si>
    <t>Munkaadókat terhelő járulék és szociális hozz. Adó</t>
  </si>
  <si>
    <t>Feladatalapú hozzájárulás</t>
  </si>
  <si>
    <t>Működési költségvetési bevételek összesen:</t>
  </si>
  <si>
    <t>Egyéb felhalmozási célú támogatás Áht-n belülről</t>
  </si>
  <si>
    <r>
      <t xml:space="preserve">I/1.Közhatalmi bevétel </t>
    </r>
    <r>
      <rPr>
        <sz val="11"/>
        <rFont val="Times New Roman CE"/>
        <family val="1"/>
        <charset val="238"/>
      </rPr>
      <t>(2.1+…+2.6)</t>
    </r>
  </si>
  <si>
    <t>I. Önkormányzat működési bevételei (2+3+4+5.1)</t>
  </si>
  <si>
    <t>5.1.1</t>
  </si>
  <si>
    <t>5.1.2</t>
  </si>
  <si>
    <t>5.1.3</t>
  </si>
  <si>
    <t>5.1.4</t>
  </si>
  <si>
    <t>5.1.5</t>
  </si>
  <si>
    <t>5.1.6</t>
  </si>
  <si>
    <t>Működési célú támogatás Áht-n belűlről  (5.1.1.+…+5.1.5.)</t>
  </si>
  <si>
    <t>Felhalmozási célú támogatás Áht-n belűlről  (5.2.1.+…+5.2.5.)</t>
  </si>
  <si>
    <t>5.2.1</t>
  </si>
  <si>
    <t>5.2.2</t>
  </si>
  <si>
    <t>5.2.3</t>
  </si>
  <si>
    <t>5.2.4</t>
  </si>
  <si>
    <t>5.2.5</t>
  </si>
  <si>
    <t xml:space="preserve">6. </t>
  </si>
  <si>
    <t>6.1</t>
  </si>
  <si>
    <t>6.2</t>
  </si>
  <si>
    <t>6.3</t>
  </si>
  <si>
    <t xml:space="preserve">8. </t>
  </si>
  <si>
    <t>10.1.</t>
  </si>
  <si>
    <t>10.2.</t>
  </si>
  <si>
    <t>Működési célú pénzügyi műveletek bevételei (11.1.1.+…+.11.1.6.)</t>
  </si>
  <si>
    <t>11.1.1</t>
  </si>
  <si>
    <t>11.1.2</t>
  </si>
  <si>
    <t>11.1.3</t>
  </si>
  <si>
    <t>11.1.4</t>
  </si>
  <si>
    <t>11.1.5</t>
  </si>
  <si>
    <t>11.1.6</t>
  </si>
  <si>
    <t>11.2.1</t>
  </si>
  <si>
    <t>11.2.2</t>
  </si>
  <si>
    <t>11.2.3</t>
  </si>
  <si>
    <t>11.2.4</t>
  </si>
  <si>
    <t>11.2.5</t>
  </si>
  <si>
    <t>11.2.6</t>
  </si>
  <si>
    <t>11.2.7</t>
  </si>
  <si>
    <t>Felhalmozási célú pénzügyi műveletek bevételei (11.2.1.+…+.11.2.7.)</t>
  </si>
  <si>
    <t>BEVÉTELEK ÖSSZESEN: (9+10+11)</t>
  </si>
  <si>
    <t>Összes létszám:</t>
  </si>
  <si>
    <r>
      <t xml:space="preserve">II. Támogatások, kiegészítések központi költségvetéstől </t>
    </r>
    <r>
      <rPr>
        <sz val="11"/>
        <rFont val="Times New Roman CE"/>
        <family val="1"/>
        <charset val="238"/>
      </rPr>
      <t>(4.1+…+4.8.)</t>
    </r>
  </si>
  <si>
    <r>
      <t xml:space="preserve">III. Támogatások államháztartáson belűlről  </t>
    </r>
    <r>
      <rPr>
        <sz val="11"/>
        <rFont val="Times New Roman CE"/>
        <family val="1"/>
        <charset val="238"/>
      </rPr>
      <t>(5.1+5.2)</t>
    </r>
  </si>
  <si>
    <r>
      <t xml:space="preserve">IV. Felhalmozási célú bevételek </t>
    </r>
    <r>
      <rPr>
        <sz val="11"/>
        <rFont val="Times New Roman CE"/>
        <family val="1"/>
        <charset val="238"/>
      </rPr>
      <t>(6.1+…+6.3)</t>
    </r>
  </si>
  <si>
    <r>
      <t xml:space="preserve">V. Átvett pénzeszközök </t>
    </r>
    <r>
      <rPr>
        <sz val="11"/>
        <rFont val="Times New Roman CE"/>
        <family val="1"/>
        <charset val="238"/>
      </rPr>
      <t>(7.1+7.2.)</t>
    </r>
  </si>
  <si>
    <t>VI. Kölcsön (munkavállalónak adott kölcsön) visszatérülése</t>
  </si>
  <si>
    <t>VII. Pénzmaradvány, vállalkozási tevékenység maradványa (10.1.+10.2.)</t>
  </si>
  <si>
    <t>VIII. Finanszírozási célú pénzügyi műveletek bevételei (11.1+11.2.)</t>
  </si>
  <si>
    <t>IX. Kiegyenlítő-, függő-, átfutó bevételek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</si>
  <si>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</si>
  <si>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</si>
  <si>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</si>
  <si>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</si>
  <si>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</si>
  <si>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</si>
  <si>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</si>
  <si>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</si>
  <si>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</si>
  <si>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</si>
  <si>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</si>
  <si>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</si>
  <si>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II. Támogatás Áht-n belűlről (4.1+4.2)</t>
  </si>
  <si>
    <t>Működési célú támogatás Áht-n belűlről (4.1.1.+…+4.1.5.)</t>
  </si>
  <si>
    <t>Felhalmozási célú támogatás Áht-n belűlről  (4.2.1.+…+4.2.5.)</t>
  </si>
  <si>
    <t>6.3.</t>
  </si>
  <si>
    <t>KÖLTSÉGVETÉSI BEVÉTELEK ÖSSZESEN (2+3+4+5+6+7+8)</t>
  </si>
  <si>
    <t>III. Felhalmozási célú bevételek (6.1.+…+.6.3.)</t>
  </si>
  <si>
    <t xml:space="preserve">IV. Átvett pénzeszközök </t>
  </si>
  <si>
    <t>V. Kölcsön (munkavállalónak adott kölcsön visszatérülése)</t>
  </si>
  <si>
    <t>10.2</t>
  </si>
  <si>
    <t>10.3</t>
  </si>
  <si>
    <t>10.4</t>
  </si>
  <si>
    <t>10.5</t>
  </si>
  <si>
    <t>10.6</t>
  </si>
  <si>
    <t>10.7</t>
  </si>
  <si>
    <t>10.8</t>
  </si>
  <si>
    <t>VI. Támogatások,  kiegészítések központi költségvetéstől (5.1.+…+5.8.)</t>
  </si>
  <si>
    <t>VII. Irányító szervtől kapott támogatás</t>
  </si>
  <si>
    <t>11.3</t>
  </si>
  <si>
    <t>13.1.</t>
  </si>
  <si>
    <t>13.2.</t>
  </si>
  <si>
    <t>VIII. Pénzmaradvány, vállalk. tev. maradványa (12.1.+12.2.)</t>
  </si>
  <si>
    <t>IX. Finanszírozási célú pénzügyi műv. bevételei (13.1.+.13.2.)</t>
  </si>
  <si>
    <t>X. Halmozódás kiszűrése</t>
  </si>
  <si>
    <t>XI. Függő, átfutó, kiegyenlítő bevételek</t>
  </si>
  <si>
    <t>II. Támogatások,  kiegészítések (4.1.+…+4.8.)</t>
  </si>
  <si>
    <t>IV. Felhalmozási célú bevételek (6.1.+…+.6.3.)</t>
  </si>
  <si>
    <t>V. Átvett pénzeszközök (7.1.+7.2.)</t>
  </si>
  <si>
    <t>VI. Kölcsön (munkavállalónak adott kölcsön visszatérülése)</t>
  </si>
  <si>
    <t>VII. Pénzmaradvány, vállalk. tev. maradványa (10.1.+10.2.)</t>
  </si>
  <si>
    <t>VIII. Finanszírozási célú pénzügyi műv. bevételei (11.1.+.11.2.)</t>
  </si>
  <si>
    <t>IX. Függő, átfutó, kiegyenlítő bevételek</t>
  </si>
  <si>
    <t>BEVÉTELEK ÖSSZESEN (9+10+11)</t>
  </si>
  <si>
    <t>Mükődési bevétel Állami pénzalaptól</t>
  </si>
  <si>
    <t>Egyéb felhalmozási célú  bevétel</t>
  </si>
  <si>
    <t>Központi költségvetéstől támogatás</t>
  </si>
  <si>
    <t>Működési célú támogatás Áht-on belülről (5.1.1.+…+5.1.5.)</t>
  </si>
  <si>
    <t>Felhalmozási célú támogatás Áht-on belülről (5.2.1.+…+5.2.5.)</t>
  </si>
  <si>
    <t>Felhalmozási célú bevételek (önerő pályázat)</t>
  </si>
  <si>
    <t>Munkaadót terhelő járulékok és szociális hozzájárulási adó</t>
  </si>
  <si>
    <t>Önkormányzat által folyósított ellátásokra jutó járulák</t>
  </si>
  <si>
    <t>Ápolási díj  járuléka</t>
  </si>
  <si>
    <t xml:space="preserve">Működési célú kiadások helyi önkormányzatkoknak </t>
  </si>
  <si>
    <t>Működési célú  kiadás Többcélú Kistérségi Társulásnak</t>
  </si>
  <si>
    <t>Működési célú  kiadás a Vecsési Egészségügyi Szolgálatnak önkormányzati támogatás</t>
  </si>
  <si>
    <t>Működési célú  kiadás az önállóan működő intézményeknek önkormányzati támogatás</t>
  </si>
  <si>
    <t>Működési célú  kiadás az önállóan működő intézményeknek feladatalapú támogatás</t>
  </si>
  <si>
    <t>Működési célú  kiadás Polgármesteri Hivatalnak önkormányzati támogatás</t>
  </si>
  <si>
    <t>Működési célú  kiadás Polgármesteri Hivatalnak feladatalapú támogatás</t>
  </si>
  <si>
    <t>II. Támogatás Áht-on belülről (2.1.+…+2.4.)</t>
  </si>
  <si>
    <t>Működési bevétel Áht-on belülről</t>
  </si>
  <si>
    <t>Felhalmozási bevétel Áht-on belülről</t>
  </si>
  <si>
    <t xml:space="preserve"> működési bevételek önállóan működő intézményeknél (normatíva)</t>
  </si>
  <si>
    <t>Működési bevételek Elkül.állami pénzalap</t>
  </si>
  <si>
    <t>Működési bevételek Egyéb nem önk.</t>
  </si>
  <si>
    <t>Működési bevételek Társulattól</t>
  </si>
  <si>
    <t>Felhalmozási bevételek ÁH belülről</t>
  </si>
  <si>
    <t>Felhalmozási bevételek ÁH kivülről</t>
  </si>
  <si>
    <t>2.1.6</t>
  </si>
  <si>
    <t>2.1.7</t>
  </si>
  <si>
    <t>2.1.8</t>
  </si>
  <si>
    <t xml:space="preserve">Vecsés Város Önkormányzat 2013. évi kötelező feladatai ellátásának költségvetési forrásai és kiadásai </t>
  </si>
  <si>
    <t>Önkormányzati hozzájárulás</t>
  </si>
  <si>
    <t>Iskolák működtetése</t>
  </si>
  <si>
    <t>Polgármesteri hivatal működtetése</t>
  </si>
  <si>
    <t>tényleges</t>
  </si>
  <si>
    <t>Tény</t>
  </si>
  <si>
    <t>Kiadás összesen:</t>
  </si>
  <si>
    <t>Feladatalapú támogatás+központosított támogatás</t>
  </si>
  <si>
    <t>Működési támogatás ÁHT-n belül</t>
  </si>
  <si>
    <t>Felhalmozási támogatás ÁHT-n belül</t>
  </si>
  <si>
    <t>Bevétel összesen:</t>
  </si>
  <si>
    <t>Anyakönyv</t>
  </si>
  <si>
    <t>Hagyaték</t>
  </si>
  <si>
    <t>Birtokvédelem</t>
  </si>
  <si>
    <t>Működési engedélyek</t>
  </si>
  <si>
    <t>Telepengedély</t>
  </si>
  <si>
    <t>Segélyek</t>
  </si>
  <si>
    <t>Oktatás</t>
  </si>
  <si>
    <t>Építéshatóság</t>
  </si>
  <si>
    <t>Egészségügyi szakellátás (Egészségügyi Szolgálat)</t>
  </si>
  <si>
    <t>Zeneiskola működtetése (Önkormányzat)</t>
  </si>
  <si>
    <t>Jelzőrendszeres házi segítségnyújtás (Gondozási Központ)</t>
  </si>
  <si>
    <t>Sérült gyerekek oktatásához hozzájárulás (Önkormányzat)</t>
  </si>
  <si>
    <t>Alapítványok támogatása (Önkormányzat)</t>
  </si>
  <si>
    <t>Társadalmi szervek támogatása (Önkormányzat)</t>
  </si>
  <si>
    <t>Egyéb támogatások (Önkormányzat)</t>
  </si>
  <si>
    <t>Hitelekkel kapcsolatos költségek (Önkormányzat)</t>
  </si>
  <si>
    <t>Banki egyéb költségek (Önkormányzat)</t>
  </si>
  <si>
    <t>Általános tartalék (Önkormányzat)</t>
  </si>
  <si>
    <t>Működési céltartalék (Önkormányzat)</t>
  </si>
  <si>
    <t>Felhalmozási céltartalék (Önkormányzat)</t>
  </si>
  <si>
    <t>Felújítások (Önkormányzat)</t>
  </si>
  <si>
    <t>Beruházások (Önkormányzat)</t>
  </si>
  <si>
    <t>Beruházások (Polgármesteri Hivatal)</t>
  </si>
  <si>
    <t>1.3+1.4+1.5</t>
  </si>
  <si>
    <t>Felhalmozási kiadások összesen:</t>
  </si>
  <si>
    <t>KÖLTSÉGVETÉSI BEVÉTELEK ÖSSZESEN: (1.+5.2+6+7+8)</t>
  </si>
  <si>
    <t>Felhalmozási célú támogatás  Áht-on belülről</t>
  </si>
  <si>
    <t>Bálint Ágnes Mesefesztivál</t>
  </si>
  <si>
    <t>ÖNO Víz és fűtés felújítás</t>
  </si>
  <si>
    <t>Családsegítő épület akadálymentesítése</t>
  </si>
  <si>
    <t>Gróf Andrássy Gyula Ált.isk. Tornaterem pótmunka</t>
  </si>
  <si>
    <t>VárosKp Befejezéséhez munkálatok</t>
  </si>
  <si>
    <t>Bálint Ágnes Kúlt.Kp.Épület felügyeleti rend.terv</t>
  </si>
  <si>
    <t>Sportcsarnok terv.program</t>
  </si>
  <si>
    <t>VárosKp. Építés</t>
  </si>
  <si>
    <t>4.10</t>
  </si>
  <si>
    <t>Szántó vásárlás 0218/33-38,0218/96.hrsz.</t>
  </si>
  <si>
    <t>Bánya u. Ingatlanrész vásárlás</t>
  </si>
  <si>
    <t>VárosKp.Funkcíójavító beruházás</t>
  </si>
  <si>
    <t>VárosKp.Kiviteli munka</t>
  </si>
  <si>
    <t>Életjáradék /Lecső L./</t>
  </si>
  <si>
    <t>Lörinci u, Forgalomcsillapító küszöb</t>
  </si>
  <si>
    <t>Anna u. Jáétszótér Járdaépítés</t>
  </si>
  <si>
    <t>4.11</t>
  </si>
  <si>
    <t>4.12</t>
  </si>
  <si>
    <t>Bálint Ágnes Óvoda Játszótér Gumitégla</t>
  </si>
  <si>
    <t>Csigaház Pályázat Laptop vásárlás</t>
  </si>
  <si>
    <t>Számítógép vásárlás /Pénztárba is/</t>
  </si>
  <si>
    <t>Laptop vásárlás</t>
  </si>
  <si>
    <t>4.13</t>
  </si>
  <si>
    <t>4.14</t>
  </si>
  <si>
    <t>Bálint Ágnes Kúlt.Kp. Berendezések</t>
  </si>
  <si>
    <t>Halmi Telepi Ált.Iskola Vetitővászon</t>
  </si>
  <si>
    <t>4.15</t>
  </si>
  <si>
    <t>4.16</t>
  </si>
  <si>
    <t>Semmelwies Bölcsőde Vanga gránit tábla</t>
  </si>
  <si>
    <t>Vadkamerák beszerzése</t>
  </si>
  <si>
    <t>Porszívó vásárlás</t>
  </si>
  <si>
    <t>Kerékpártároló</t>
  </si>
  <si>
    <t>Blokknyomtató készülék</t>
  </si>
  <si>
    <t>Vonalkódolvasó készülék</t>
  </si>
  <si>
    <t>Bútor beszerzés</t>
  </si>
  <si>
    <t>Klíma készülék</t>
  </si>
  <si>
    <t>Chevrolet Lacetti Gépkocsi vásárlás</t>
  </si>
  <si>
    <t>Interreg IVC RETS Pály.</t>
  </si>
  <si>
    <t>TÁMOP Befogadó Munkahelyek Pály.</t>
  </si>
  <si>
    <t>Csigaház Pályázat</t>
  </si>
  <si>
    <t xml:space="preserve">TÁMOP Jam ház </t>
  </si>
  <si>
    <t xml:space="preserve">Magyar Kultúra Napja 2012. </t>
  </si>
  <si>
    <t>3.29</t>
  </si>
  <si>
    <t>0 havi Kompenzácíó előleg</t>
  </si>
  <si>
    <t>3.30</t>
  </si>
  <si>
    <t>3.31</t>
  </si>
  <si>
    <t>3.32</t>
  </si>
  <si>
    <t>3.33</t>
  </si>
  <si>
    <t>Szociálisan rászoruló gyermekek Nyári étkeztetése</t>
  </si>
  <si>
    <t>Lakótelep területrendezés</t>
  </si>
  <si>
    <t>VárosKp Pályázat</t>
  </si>
  <si>
    <t>1.1.8</t>
  </si>
  <si>
    <t>1.1.9</t>
  </si>
  <si>
    <t>1.1.10</t>
  </si>
  <si>
    <t>Bölcsőde Ép.Pályázat</t>
  </si>
  <si>
    <t>Mos.ó.Ép.felúj.és eszközbesz.Pály.</t>
  </si>
  <si>
    <t>KIK,Pénzügy,Vagyon Bútor</t>
  </si>
  <si>
    <t>LRI Telkek Ügyvédi díj</t>
  </si>
  <si>
    <t>KIK Szerver és Irodai szoba kialakítása</t>
  </si>
  <si>
    <t>Repülőgép károk</t>
  </si>
  <si>
    <t>Helyi Vizuál Reg.Licenc</t>
  </si>
  <si>
    <t>Dobrovizt Kft./Fogathajtó/</t>
  </si>
  <si>
    <t>Vecsési Ipartestület</t>
  </si>
  <si>
    <t>Wetsc.Nactigallen kórus</t>
  </si>
  <si>
    <t>Napraforgó Gyermek, Ifjúsági Táncegyesület</t>
  </si>
  <si>
    <t>1.6.3.14</t>
  </si>
  <si>
    <t>Petőfi Sándor Római Katolikus Ált.Isk.és Gimn.</t>
  </si>
  <si>
    <t>Vecsési Gasztro Kft.</t>
  </si>
  <si>
    <t>2013.évi Terv</t>
  </si>
  <si>
    <t>2013.Mód.EI</t>
  </si>
  <si>
    <t>2013.Teljesítés</t>
  </si>
  <si>
    <t>VFC Tao Pály.</t>
  </si>
  <si>
    <t>9.3</t>
  </si>
  <si>
    <t>Számítógép és monitor</t>
  </si>
  <si>
    <t>Bálint Ágnes Kúlturális Központ</t>
  </si>
  <si>
    <t>Szerver számítógép</t>
  </si>
  <si>
    <t>Balettpadló</t>
  </si>
  <si>
    <t>11.4</t>
  </si>
  <si>
    <t>Cípősszekrény</t>
  </si>
  <si>
    <t>Iróasztal</t>
  </si>
  <si>
    <t>Játszóház polc és fotel</t>
  </si>
  <si>
    <t>11.5</t>
  </si>
  <si>
    <t>11.6</t>
  </si>
  <si>
    <t>Lépcsőházi dekor</t>
  </si>
  <si>
    <t>DPMV Zrt Bútorok</t>
  </si>
  <si>
    <t>Zeneiskola Tandíj</t>
  </si>
  <si>
    <t>1.3.3.</t>
  </si>
  <si>
    <t>Egyéb működési célú központi támogatás</t>
  </si>
  <si>
    <t>Műkösési célú támogatásértékű bevétel</t>
  </si>
  <si>
    <t>Működés célú, támogatásért.bev.ÁH belülről EU-tól.kp.ktgvetésből</t>
  </si>
  <si>
    <t>Működési célú támogatás ÁH kívülről</t>
  </si>
  <si>
    <t>2.3.1.3</t>
  </si>
  <si>
    <t>Vállalkozásoktól</t>
  </si>
  <si>
    <t>Önkormányzat felhalmozási költségvetési támogatása</t>
  </si>
  <si>
    <t xml:space="preserve">       - Felhalmozási támogatás </t>
  </si>
  <si>
    <t>Működési tartalék / Általános tartalék és Működési céltartalék/</t>
  </si>
  <si>
    <t>4.7.3.</t>
  </si>
  <si>
    <t>15.1</t>
  </si>
  <si>
    <t>Sótalanító berendezés</t>
  </si>
  <si>
    <t>15.2</t>
  </si>
  <si>
    <t>15.3</t>
  </si>
  <si>
    <t>15.4</t>
  </si>
  <si>
    <t>15.5</t>
  </si>
  <si>
    <t>Filmnyomó vásárlás</t>
  </si>
  <si>
    <t>15.6</t>
  </si>
  <si>
    <t>15.7</t>
  </si>
  <si>
    <t>15.8</t>
  </si>
  <si>
    <t>15.9</t>
  </si>
  <si>
    <t>INTÉZMÉNYI FELÚJÍTÁSOK</t>
  </si>
  <si>
    <t>Beruházás megnevezése</t>
  </si>
  <si>
    <t>Eredeti előirányzat</t>
  </si>
  <si>
    <t>Módosított előirányzat</t>
  </si>
  <si>
    <t>A központi költségvetés- ből származó egyéb költségvetési támogatások</t>
  </si>
  <si>
    <t>Eredeti EI</t>
  </si>
  <si>
    <t>Eredeti Ei</t>
  </si>
  <si>
    <t>Módo- sított EI</t>
  </si>
  <si>
    <t>Teljesí- tés</t>
  </si>
  <si>
    <t>Módosí- tott EI</t>
  </si>
  <si>
    <t>Felhal- mozási célú</t>
  </si>
  <si>
    <t>Műkö-dési célú</t>
  </si>
  <si>
    <t>Módosított EI</t>
  </si>
  <si>
    <t>Módos- tott EI</t>
  </si>
  <si>
    <t>Műkö dési célú</t>
  </si>
  <si>
    <t xml:space="preserve"> Teljesítés</t>
  </si>
  <si>
    <t xml:space="preserve"> Módosított előirányzat</t>
  </si>
  <si>
    <t xml:space="preserve">Teljesítés </t>
  </si>
  <si>
    <t>eltérés</t>
  </si>
  <si>
    <t xml:space="preserve">Beszámoló 80-s táblához </t>
  </si>
  <si>
    <t>Eltérés:</t>
  </si>
  <si>
    <t>Működési bevétel 80 tábla szerint</t>
  </si>
  <si>
    <t>Felhalmozási bevétel 80 tábla szerint</t>
  </si>
  <si>
    <t>Működési kiadás 80 tábla szerint</t>
  </si>
  <si>
    <t>Felhalmozási kiadás 80 tábla szerint</t>
  </si>
  <si>
    <t>Dolgozóknak adott kölcsön</t>
  </si>
  <si>
    <t>V.</t>
  </si>
  <si>
    <t>Központi költségvetésből támogatásértékű bevétel</t>
  </si>
  <si>
    <t>Többcélú Kistérségi Társulástól, jogi szem. Társulástól átvett pénz</t>
  </si>
  <si>
    <t>Függő átfutó bevételek:</t>
  </si>
  <si>
    <t>Működési célú pénzeszköz átvétel államháztartások kívülről</t>
  </si>
  <si>
    <t>Felújítások (Intézmények)</t>
  </si>
  <si>
    <t>Beruházások (Intézményi)</t>
  </si>
  <si>
    <t>Pénzmaradvány igénybevétele</t>
  </si>
  <si>
    <t>Állami</t>
  </si>
  <si>
    <t>Városüzemeltetés +egyéb önkormányzati feladatok</t>
  </si>
  <si>
    <r>
      <t>Finanszírozási célú pénzügyi műveletek egyenlege előző évi pénzmaradvány igénybevétele nélküli egyenleg</t>
    </r>
    <r>
      <rPr>
        <sz val="11"/>
        <rFont val="Times New Roman CE"/>
        <family val="1"/>
        <charset val="238"/>
      </rPr>
      <t>(1.1 - 1.2) +/-</t>
    </r>
  </si>
  <si>
    <t>Finanszírozási célú bevételek (14+…+24)</t>
  </si>
  <si>
    <t>Finansírozási célú bev. (12+…+20)</t>
  </si>
  <si>
    <t>III. Támogatás Áht-on belülről (5.1+5.2)</t>
  </si>
  <si>
    <t>1.3.1.4.</t>
  </si>
  <si>
    <t>Pénzmaradvány</t>
  </si>
  <si>
    <t>BEVÉTELEK ÖSSZESEN (13+24)</t>
  </si>
  <si>
    <t>BEVÉTELEK ÖSSZESEN (11+22)</t>
  </si>
  <si>
    <t>Likviditási hitelek törlesztése és értékpapír vásárlás</t>
  </si>
  <si>
    <t>Beruházási kiadások összesen:</t>
  </si>
  <si>
    <t>Grassalkovich Antal Ált.isk.Bádogos munkák</t>
  </si>
  <si>
    <t>Károly u.2. KIK Belső átalakítás</t>
  </si>
  <si>
    <t>Pet.isk. Ablakcsere</t>
  </si>
  <si>
    <t>Gondozási Központ Bádogozási munkák</t>
  </si>
  <si>
    <t xml:space="preserve">Magyar Kultúra Napja 2014. </t>
  </si>
  <si>
    <t>"Mindenki keresztje" Szobor</t>
  </si>
  <si>
    <t xml:space="preserve">"Káposztás fiú" Szobor </t>
  </si>
  <si>
    <t>5000 fő feletti Adósságkonszolídáció</t>
  </si>
  <si>
    <t>5.11.</t>
  </si>
  <si>
    <t>Kombihütő</t>
  </si>
  <si>
    <t>5.12.</t>
  </si>
  <si>
    <t>Mikrohullámúsütő</t>
  </si>
  <si>
    <t>5.13.</t>
  </si>
  <si>
    <t>Szerver csere</t>
  </si>
  <si>
    <t>Játszótéri játékok</t>
  </si>
  <si>
    <t>Tökház</t>
  </si>
  <si>
    <t>11.7</t>
  </si>
  <si>
    <t>11.8</t>
  </si>
  <si>
    <t>Jegynyilvántartó program</t>
  </si>
  <si>
    <t>Rozsdamentes asztal</t>
  </si>
  <si>
    <t>Epres területén Energia szükséglet</t>
  </si>
  <si>
    <t>Epres területén Vízelv.kiép. I.ütem</t>
  </si>
  <si>
    <t>Mezővédősorompó</t>
  </si>
  <si>
    <t>DPMV Zrt Közműhálózát és tűzcsap</t>
  </si>
  <si>
    <t>Gépjárműbeálló Lévai-Szabadkai</t>
  </si>
  <si>
    <t>4.17</t>
  </si>
  <si>
    <t>4.18</t>
  </si>
  <si>
    <t>4.19</t>
  </si>
  <si>
    <t>4.20</t>
  </si>
  <si>
    <t>4.21</t>
  </si>
  <si>
    <t>4.22</t>
  </si>
  <si>
    <t>4.23</t>
  </si>
  <si>
    <t>Bálint Ágnes Kúlt.Kp. Lépcsőkorlát</t>
  </si>
  <si>
    <t>Bálint Ágnes Kúlt.Kp. Festmény</t>
  </si>
  <si>
    <t>KIK Klima berendezés</t>
  </si>
  <si>
    <t>Halmi isk. Hütőgép</t>
  </si>
  <si>
    <t>VárosKp. Építés HÉROSZ Végelsz.</t>
  </si>
  <si>
    <t>Felhalm. kölcsön törlesztése / kamatmentes kölcsön /</t>
  </si>
  <si>
    <t xml:space="preserve">Végleges pénzeszközátvétel </t>
  </si>
  <si>
    <t>Felh.Árf.nyereség</t>
  </si>
  <si>
    <t>Hitelv.megt.kötvénybev.Árf.nyer.</t>
  </si>
  <si>
    <t>Party Pack Kft</t>
  </si>
  <si>
    <t>1.4.2.1.</t>
  </si>
  <si>
    <t>1.4.2.2.</t>
  </si>
  <si>
    <t>1.4.2.3.</t>
  </si>
  <si>
    <t xml:space="preserve">Állami alapoktól </t>
  </si>
  <si>
    <t>1.4.2.4.</t>
  </si>
  <si>
    <t>Helyi önkormányzatoktól</t>
  </si>
  <si>
    <t>1.4.2.5.</t>
  </si>
  <si>
    <t>1.4.2.6.</t>
  </si>
  <si>
    <t>Többcélú kistérségtől</t>
  </si>
  <si>
    <t>Állami alapoktól</t>
  </si>
  <si>
    <t>Végleges pénzeszköz átvétel</t>
  </si>
  <si>
    <t>Felhalmozási célú pénzeszköz átvétel Áh belülről /EU-tól/</t>
  </si>
  <si>
    <t>Működési célú pénzeszköz átvétel államháztartáson belülről</t>
  </si>
  <si>
    <t>Felhalmozási célú pénzeszk. átvétel államháztartáson belülről</t>
  </si>
  <si>
    <t>Működési célú pénzeszközátvétel ÁH belülről/EU-tól/</t>
  </si>
  <si>
    <t>6.4</t>
  </si>
  <si>
    <t>Felh.kamatbevétel és felhh.c.realizált árf.nyer.bev.</t>
  </si>
  <si>
    <t>Önkormányzat ktgvet-i támogatása</t>
  </si>
  <si>
    <t>Igazgatási díj</t>
  </si>
  <si>
    <t>VII. Egyéb központi támogatás</t>
  </si>
  <si>
    <t>1.3.3</t>
  </si>
  <si>
    <t xml:space="preserve">       - Egyéb központi támogatás</t>
  </si>
  <si>
    <t>Városi fejlesztések:</t>
  </si>
  <si>
    <t>EEI</t>
  </si>
  <si>
    <t>MEI</t>
  </si>
  <si>
    <t>Telj</t>
  </si>
  <si>
    <t>Polgármesteri Hivatal:</t>
  </si>
  <si>
    <t>Intézmények</t>
  </si>
  <si>
    <t xml:space="preserve">80-as </t>
  </si>
  <si>
    <t>Eltérés</t>
  </si>
  <si>
    <t>Működési célú kiadás társulásokna</t>
  </si>
  <si>
    <t>Működési célú kiadás központi költségvetési szervnek</t>
  </si>
  <si>
    <t>eltérés különbözete</t>
  </si>
  <si>
    <t>Eu támogatás</t>
  </si>
  <si>
    <t>Működési bevétel állami pénzalaptól</t>
  </si>
  <si>
    <t>5.1.7</t>
  </si>
  <si>
    <t>Kiadás 1.1+1.2 sz mell. Összesen:</t>
  </si>
  <si>
    <t>Bevétel 1.1+1.2 sz mell. Összesen:</t>
  </si>
  <si>
    <t>Bálint Ágnes Művelődési Központ</t>
  </si>
  <si>
    <t>3.34</t>
  </si>
  <si>
    <t>2013.évi Módosított előirányzat</t>
  </si>
  <si>
    <t>2013.évi Módosított Előirányzat</t>
  </si>
  <si>
    <t>2013.évi  Teljesítés</t>
  </si>
  <si>
    <t>2013.évi Teljesítés</t>
  </si>
  <si>
    <t>2013. évi Teljesítés</t>
  </si>
  <si>
    <t>2013.évi  Módosított előirányzat</t>
  </si>
  <si>
    <t>ÁROP-2013-0031.Pály.</t>
  </si>
  <si>
    <t>3.9.4</t>
  </si>
  <si>
    <t>Faültetési akcíó háztartások</t>
  </si>
  <si>
    <t>Esélyegyenlőségi program</t>
  </si>
  <si>
    <t>Gazd.stratégiai fejl.és konc.</t>
  </si>
  <si>
    <t>Családsegítő hétvégi ügyelet élelmiszer</t>
  </si>
  <si>
    <t>KEOP Szilárdhull.Pály.</t>
  </si>
  <si>
    <t>5.14.</t>
  </si>
  <si>
    <t>LED TV</t>
  </si>
  <si>
    <t>6.4.</t>
  </si>
  <si>
    <t>6.5.</t>
  </si>
  <si>
    <t>6.6.</t>
  </si>
  <si>
    <t>Szaletti csere</t>
  </si>
  <si>
    <t>Tornatermi szekrény</t>
  </si>
  <si>
    <t>Fektetők és szekrény</t>
  </si>
  <si>
    <t>9.4</t>
  </si>
  <si>
    <t>9.5</t>
  </si>
  <si>
    <t>Nyomtató</t>
  </si>
  <si>
    <t>PC konfigurácíó</t>
  </si>
  <si>
    <t>Toshiba Laptop</t>
  </si>
  <si>
    <t>JVC Mini Hifi</t>
  </si>
  <si>
    <t>11.9</t>
  </si>
  <si>
    <t>11.10</t>
  </si>
  <si>
    <t>Philips Cd-s rádió</t>
  </si>
  <si>
    <t>Függöny készítés</t>
  </si>
  <si>
    <t>Központi Konyha</t>
  </si>
  <si>
    <t>Fözöüst felújítása</t>
  </si>
  <si>
    <t>Transzformátor csere DPMV</t>
  </si>
  <si>
    <t>1.33</t>
  </si>
  <si>
    <t>1.34</t>
  </si>
  <si>
    <t>1.35</t>
  </si>
  <si>
    <t>1.36</t>
  </si>
  <si>
    <t>Wass A. u. Térfigyelő rend.</t>
  </si>
  <si>
    <t>Wass A.u. Streetball szett</t>
  </si>
  <si>
    <t>Wass A.u. Játszótéri játékok</t>
  </si>
  <si>
    <t>Ravatalozó kivitelezése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</si>
  <si>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</si>
  <si>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</si>
  <si>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</si>
  <si>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</si>
  <si>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</si>
  <si>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</si>
  <si>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</si>
  <si>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</si>
  <si>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</si>
  <si>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</si>
  <si>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</si>
  <si>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</si>
  <si>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</si>
  <si>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</si>
  <si>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</si>
  <si>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</si>
  <si>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Mátyás u. Kutyafuttató kerítés</t>
  </si>
  <si>
    <t>Gk.vásárlás LWL-227</t>
  </si>
  <si>
    <t>Andrássy Gy.Ált.isk. Öltőzőpad</t>
  </si>
  <si>
    <t>Andrássy Gy.Ált.isk. Hátsó kerítés</t>
  </si>
  <si>
    <t>Halmi isk. HIFI</t>
  </si>
  <si>
    <t>Halmi isk. Sztereókeverő</t>
  </si>
  <si>
    <t>Pet.isk.Műtű telepítés</t>
  </si>
  <si>
    <t>Zeneisk. Számítógép</t>
  </si>
  <si>
    <t>Zeneisk.Projektor</t>
  </si>
  <si>
    <t>Grass.A. Német Nemz.Kétnyelvű Ált.isk. Játszóudvari eszközök</t>
  </si>
  <si>
    <t>Grass.A. Német Nemz.Kétnyelvű Ált.isk. Notebook</t>
  </si>
  <si>
    <t>Grass.A. Német Nemz.Kétnyelvű Ált.isk. Projektor</t>
  </si>
  <si>
    <t>Halmi isk. 2 db Számítógép és notebook</t>
  </si>
  <si>
    <t>Andrássy Gy.Ált.isk. ACER Laptop</t>
  </si>
  <si>
    <t>Mobilgarázs</t>
  </si>
  <si>
    <t>Halmi isk. 15 db PC Informatikai terember</t>
  </si>
  <si>
    <t>Zeneisk.Hangszer</t>
  </si>
  <si>
    <t>Ádám u. 2. Ingatlan vásárlás</t>
  </si>
  <si>
    <t>1.6.1.9.</t>
  </si>
  <si>
    <t>Vecsési Családokért Alapítvány</t>
  </si>
  <si>
    <t>1.6.3.16</t>
  </si>
  <si>
    <t>VETÜSZ Kft.</t>
  </si>
  <si>
    <t>1.6.2.38</t>
  </si>
  <si>
    <t>1.6.2.39</t>
  </si>
  <si>
    <t>1.6.2.40</t>
  </si>
  <si>
    <t>1.6.2.41</t>
  </si>
  <si>
    <t>1.6.2.42</t>
  </si>
  <si>
    <t>1.6.2.43</t>
  </si>
  <si>
    <t>1.6.2.44</t>
  </si>
  <si>
    <t>Fischer N.Labdarugó Teremtorna</t>
  </si>
  <si>
    <t>Szénási: "Ne siess idő!" könyv</t>
  </si>
  <si>
    <t>Varsa Mátyás Ady est</t>
  </si>
  <si>
    <t>VSE Karate Szakosztály</t>
  </si>
  <si>
    <t>Vecsési Open Teniszbajnokság</t>
  </si>
  <si>
    <t>Dél-pesti ILCO Club</t>
  </si>
  <si>
    <t>VSE Asztalitenisz Szakosztály</t>
  </si>
  <si>
    <t>VSE Ökölvivó Szakosztály</t>
  </si>
  <si>
    <t>Pest megyei Rendőrfőkapítányság</t>
  </si>
  <si>
    <t>Kolping Támogató Szolg.</t>
  </si>
  <si>
    <t>Magyar Szkander Szöv.</t>
  </si>
  <si>
    <t>VSE Darts Szakosztály</t>
  </si>
  <si>
    <t>Ingatlan.gépek berend.</t>
  </si>
  <si>
    <t>Felh.Kamat és Árf.nyereség</t>
  </si>
  <si>
    <t>1.11.2.</t>
  </si>
  <si>
    <t>Rövid lejáratú hitel felvétel Pénzügyi vállalkozástól</t>
  </si>
  <si>
    <t>2.1.2.2</t>
  </si>
  <si>
    <t>Részesedés értékesítése</t>
  </si>
  <si>
    <t>Helyi adó és adójellegű bevétel</t>
  </si>
  <si>
    <t>4.7.4.</t>
  </si>
  <si>
    <t>Egyéb közhatalmi bevétel</t>
  </si>
  <si>
    <t>Likviditási hitelek</t>
  </si>
  <si>
    <t>Finanszírozási bevétel</t>
  </si>
  <si>
    <t xml:space="preserve">Finanszírozási bevétel </t>
  </si>
  <si>
    <t>Agregátor adatgyüjtő javítási munka</t>
  </si>
  <si>
    <t>Hidraulikus kezelő- és vizsgálóasztal</t>
  </si>
  <si>
    <t xml:space="preserve">Számitógép vás </t>
  </si>
  <si>
    <t>Anyag vásárlás (szám.techn.)</t>
  </si>
  <si>
    <t>Nyomtató, lapadagoló vásárlás</t>
  </si>
  <si>
    <t>Klima /7tagú/ Háriorvosi rendelő</t>
  </si>
  <si>
    <t>Kliíma Védönői Szolgálat</t>
  </si>
  <si>
    <t>Bútor vás.Védönői Szolgálat</t>
  </si>
  <si>
    <t>Szakmai gép/egynapos sebészet/</t>
  </si>
  <si>
    <t>Számítógép besz./Háziorvosi ügyelet/</t>
  </si>
  <si>
    <t>Szakmai gép/fogorvos/</t>
  </si>
  <si>
    <t>15.10</t>
  </si>
  <si>
    <t>15.11</t>
  </si>
  <si>
    <t>15.12</t>
  </si>
  <si>
    <t>15.13</t>
  </si>
  <si>
    <t>Gép,elektronikai berendezés</t>
  </si>
  <si>
    <t>Defibrillátor alk. Csere</t>
  </si>
  <si>
    <t>3,4,5 táblák összesen</t>
  </si>
  <si>
    <t>módosított</t>
  </si>
  <si>
    <t>teljesítés</t>
  </si>
  <si>
    <t>80-as szerint</t>
  </si>
  <si>
    <t>80-s szerint</t>
  </si>
  <si>
    <t>kamat kiadás</t>
  </si>
  <si>
    <t>Eredeti</t>
  </si>
  <si>
    <t>dologi</t>
  </si>
  <si>
    <t xml:space="preserve">Kamatkiadás </t>
  </si>
  <si>
    <t>függő</t>
  </si>
  <si>
    <t>Működési célú pe.átvétel Áh.kivülről /Non-profit szervtől/</t>
  </si>
  <si>
    <t>Előző évi költségvetési kiegészítések, visszatérülések</t>
  </si>
  <si>
    <t>Előző évi működési célú költségvetési kiegészítések, visszatérülések</t>
  </si>
  <si>
    <t>4.1.8</t>
  </si>
  <si>
    <t xml:space="preserve">Vecsés Város Önkormányzat adósságot keletkeztető ügyletekből és kezességvállalásokból fennálló kötelezettségei </t>
  </si>
  <si>
    <t>Sor-szám</t>
  </si>
  <si>
    <t>Évek</t>
  </si>
  <si>
    <t>Összesen
(7=3+4+5+6)</t>
  </si>
  <si>
    <t>2013.</t>
  </si>
  <si>
    <t>2014.</t>
  </si>
  <si>
    <t>2015.</t>
  </si>
  <si>
    <t>2015. 
után</t>
  </si>
  <si>
    <t>"Sikeres Magyarországért" ÖKIF hitelprogram (200 millió)</t>
  </si>
  <si>
    <t>"Sikeres Magyarországért" ÖKIF hitelprogram (500 millió)</t>
  </si>
  <si>
    <t>300.000.000.Ft értékű kötvénykibocsátás</t>
  </si>
  <si>
    <t>700.000.000.Ft értékű kötvénykibocsátás</t>
  </si>
  <si>
    <t>Vecsési Futball létesítmények korszerűsítése ÖKIF hitelprogram</t>
  </si>
  <si>
    <t>ÖSSZES KÖTELEZETTSÉG</t>
  </si>
  <si>
    <t>Vecsés Város Önkormányzat saját bevételeinek részletezése az adósságot keletkeztető ügyletből származó tárgyévi fizetési kötelezettség megállapításához</t>
  </si>
  <si>
    <t>ezer Ft</t>
  </si>
  <si>
    <t>Bevételi jogcímek</t>
  </si>
  <si>
    <t>2013. évi Módosított előirányzat</t>
  </si>
  <si>
    <t>Osztalékok, koncessziós díjak, hozam</t>
  </si>
  <si>
    <t>Díjak, pótlékok bírságok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</si>
  <si>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</si>
  <si>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</si>
  <si>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</si>
  <si>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SAJÁT BEVÉTELEK ÖSSZESEN*</t>
  </si>
  <si>
    <t>Vecsés Város Önkormányzat 2013. évi adósságot keletkeztető fejlesztési céljai</t>
  </si>
  <si>
    <t>Fejlesztési cél leírása</t>
  </si>
  <si>
    <t>Fejlesztés várható kiadása</t>
  </si>
  <si>
    <t>ADÓSSÁGOT KELETKEZTETŐ ÜGYLETEK VÁRHATÓ EGYÜTTES ÖSSZEGE</t>
  </si>
  <si>
    <t xml:space="preserve"> Ezer forintban</t>
  </si>
  <si>
    <t>Kötelezettség jogcíme</t>
  </si>
  <si>
    <t>Köt. váll.
 éve</t>
  </si>
  <si>
    <t>2013. előtti kifizetés</t>
  </si>
  <si>
    <t>Összesen</t>
  </si>
  <si>
    <t>9=(4+5+6+7+8)</t>
  </si>
  <si>
    <t>Működési célú hiteltörlesztés (tőke+kamat)</t>
  </si>
  <si>
    <t>Felhalmozási célú hiteltörlesztés (tőke+kamat)</t>
  </si>
  <si>
    <t>300.000.000 Ft értékű kötvénykibocsátás</t>
  </si>
  <si>
    <t>700.000.000 Ft értékű kötvénykibocsátás</t>
  </si>
  <si>
    <t>Beruházás feladatonként</t>
  </si>
  <si>
    <t>Felújítás célonként</t>
  </si>
  <si>
    <t>Összesen (1+3+9+11+13)</t>
  </si>
  <si>
    <t>Vecsés Város Önkormányzata 2010. évben 200.000.000 Ft MFB által refinanszírozott beruházási hitelt vett fel, melynek visszafizetési ütemezését a táblázat 4. sora tartalmazza.</t>
  </si>
  <si>
    <t>A beruházások finanszírozására 2007. évben 300.000.000 Ft értékben kötvényt bocsátott ki az Önkormányzat. Az esedékes fizetési kötelezettség a táblázat 6. során látható.</t>
  </si>
  <si>
    <t>A Képviselő-testület a 230/2007 (XII. 18.) számú határozata alapján 2008. évben 700.000.000 Ft kötvény kibocsátásra kerül sor. A táblázat 7. sora tartalmazza a jelen ismeretek alapján prognosztizált ütemezését.</t>
  </si>
  <si>
    <t>A Képviselő-testület 2008. évben a sportpálya és sportlétesítmények korszerűsítésére 100.000.000 Ft MFB által refinanszírozott hitelt vett fel, melynek visszafizetési ütemezését a táblázat 8. sora mutatja be.</t>
  </si>
  <si>
    <t>EU-s projekt neve, azonosítója:</t>
  </si>
  <si>
    <t>Csigaház Gyermektrerápiás Projekt TÁMOP.5.2.5.A-10/1-2010-0018</t>
  </si>
  <si>
    <t>ezer forintban</t>
  </si>
  <si>
    <t>Források</t>
  </si>
  <si>
    <t>2012.</t>
  </si>
  <si>
    <t>2013. után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</si>
  <si>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</si>
  <si>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</si>
  <si>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</si>
  <si>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</si>
  <si>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</si>
  <si>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</si>
  <si>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</si>
  <si>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</si>
  <si>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</si>
  <si>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</si>
  <si>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</si>
  <si>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</si>
  <si>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Önkormányzaton kívüli EU-s projektekhez történő hozzájárulás 2013. évi előir.</t>
  </si>
  <si>
    <t>Air LED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</si>
  <si>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</si>
  <si>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</si>
  <si>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</si>
  <si>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</si>
  <si>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</si>
  <si>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</si>
  <si>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</si>
  <si>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</si>
  <si>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</si>
  <si>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</si>
  <si>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</si>
  <si>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</si>
  <si>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</si>
  <si>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</si>
  <si>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</si>
  <si>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</si>
  <si>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</si>
  <si>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</si>
  <si>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</si>
  <si>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</si>
  <si>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27.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</si>
  <si>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</si>
  <si>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</si>
  <si>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</si>
  <si>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</si>
  <si>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</si>
  <si>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</si>
  <si>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</si>
  <si>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</si>
  <si>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</si>
  <si>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</si>
  <si>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</si>
  <si>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</si>
  <si>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Intézményi működési bevételek</t>
  </si>
  <si>
    <t>Támogatások, hozzájárulások bevételei</t>
  </si>
  <si>
    <t>Támogatásértékű bevételek</t>
  </si>
  <si>
    <t>Felhalmozási célú bevételek</t>
  </si>
  <si>
    <t>Átvett pénzeszközök</t>
  </si>
  <si>
    <t>Kölcsönök</t>
  </si>
  <si>
    <t>Előző évi pénzmaradvány, vállalkozási eredmény</t>
  </si>
  <si>
    <t>Működési célú p.e.átvétel államházt.kivülről</t>
  </si>
  <si>
    <t>Finanszírozási célú bevételek</t>
  </si>
  <si>
    <t>Ellátottak pénzbeli juttatása</t>
  </si>
  <si>
    <t>Támogatások, elvonások</t>
  </si>
  <si>
    <t>Támogatásértékű kiadások</t>
  </si>
  <si>
    <t>Intézményi egyéb működési kiadások</t>
  </si>
  <si>
    <t>Lakosságnak juttatott tám., szociális, rászorultság jellegű tám.</t>
  </si>
  <si>
    <t>Hitelek kamatai</t>
  </si>
  <si>
    <t>Felhalmozási költségvetés kiadásai</t>
  </si>
  <si>
    <t>Finanszírozási célú kiadások</t>
  </si>
  <si>
    <t>Kölcsön</t>
  </si>
  <si>
    <t>28.</t>
  </si>
  <si>
    <t>Egyenleg</t>
  </si>
  <si>
    <t xml:space="preserve"> ezer forintban</t>
  </si>
  <si>
    <t xml:space="preserve">Hitel, kölcsön </t>
  </si>
  <si>
    <t>Kölcsön-
nyújtás
éve</t>
  </si>
  <si>
    <t xml:space="preserve">Lejárat
éve </t>
  </si>
  <si>
    <t>Hitel, kölcsön állomány január 1-jén</t>
  </si>
  <si>
    <t>2015. után</t>
  </si>
  <si>
    <t xml:space="preserve">Rövid lejáratú </t>
  </si>
  <si>
    <t>Hosszú lejáratú</t>
  </si>
  <si>
    <t>"Sikeres Magyarországért" ÖKIF hitelprogram</t>
  </si>
  <si>
    <t>300. mo. Ft kötvény kibocsátás</t>
  </si>
  <si>
    <t>700. mo. Ft kötvény kibocsátás</t>
  </si>
  <si>
    <t xml:space="preserve">2008. </t>
  </si>
  <si>
    <t>Összesen (1+6)</t>
  </si>
  <si>
    <t>Támogatott szervezet neve</t>
  </si>
  <si>
    <t>Támogatás célja</t>
  </si>
  <si>
    <t xml:space="preserve">Támogatás összge 
</t>
  </si>
  <si>
    <t>Működési támogatás</t>
  </si>
  <si>
    <t>Bálint Ágnes Családi Nap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</si>
  <si>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</si>
  <si>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</si>
  <si>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</si>
  <si>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</si>
  <si>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</si>
  <si>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</si>
  <si>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</si>
  <si>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</si>
  <si>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</si>
  <si>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</si>
  <si>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</si>
  <si>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</si>
  <si>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</si>
  <si>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</si>
  <si>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</si>
  <si>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</si>
  <si>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</si>
  <si>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</si>
  <si>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</si>
  <si>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</si>
  <si>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</si>
  <si>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</si>
  <si>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</si>
  <si>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</si>
  <si>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</si>
  <si>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</si>
  <si>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</si>
  <si>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</si>
  <si>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</si>
  <si>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</si>
  <si>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</si>
  <si>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</si>
  <si>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</si>
  <si>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</si>
  <si>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</si>
  <si>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</si>
  <si>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Összeg Ft-ban</t>
  </si>
  <si>
    <t>2012. évre betervezett és 2013. évre áthúzódó feladatok fedezetére átcsoportosítás:</t>
  </si>
  <si>
    <t>Költségvetési befizetés többlettámogatás miatt</t>
  </si>
  <si>
    <t>Állami normatíva elszámolás után visszajár</t>
  </si>
  <si>
    <t>18.1.</t>
  </si>
  <si>
    <t>18.2.</t>
  </si>
  <si>
    <t xml:space="preserve">Felosztásra került működési  pénzmaradvány összesen </t>
  </si>
  <si>
    <t xml:space="preserve">II. </t>
  </si>
  <si>
    <t>Önállóan Működő és Gazdálkodó Intézmények működési  pénzmaradványa                                                                                   (Egészségügyi Szolgálat)</t>
  </si>
  <si>
    <t>szállítók</t>
  </si>
  <si>
    <t>Működési célú előző évi pénzmaradvány</t>
  </si>
  <si>
    <t xml:space="preserve">Felosztásra került felhalmozási pénzmaradvány összesen </t>
  </si>
  <si>
    <t>Felhalmozási kiadások</t>
  </si>
  <si>
    <t>Felhalmozási célú előző évi pénzmaradvány</t>
  </si>
  <si>
    <t>Szabad pénzmaradvány összesen:</t>
  </si>
  <si>
    <t>I. Feladattal nem terhelt működési pénzmaradvány</t>
  </si>
  <si>
    <t>összeg Ft</t>
  </si>
  <si>
    <t>II. Feladattal nem terhelt felhalmozási pénzmaradvány</t>
  </si>
  <si>
    <t>Maradvány</t>
  </si>
  <si>
    <t>2013. évi pénzmaradvány felosztása: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</si>
  <si>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</si>
  <si>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</si>
  <si>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</si>
  <si>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</si>
  <si>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</si>
  <si>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</si>
  <si>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</si>
  <si>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</si>
  <si>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</si>
  <si>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</si>
  <si>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</si>
  <si>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Ingatlan bevétel kiváltása</t>
  </si>
  <si>
    <t>Szállítók Összes Intézmény</t>
  </si>
  <si>
    <t>Konyha PM 2013.év</t>
  </si>
  <si>
    <t>Ph. PM 2013.év</t>
  </si>
  <si>
    <t>Kötváll Nyitó Összes Intézmény</t>
  </si>
  <si>
    <t>BÁKK PM.2013.év</t>
  </si>
  <si>
    <t xml:space="preserve">Kisegítő Iskola </t>
  </si>
  <si>
    <t>Óvadék átutalása  adósságkonszolidáció miatt</t>
  </si>
  <si>
    <t>"Mindenki keresztje" Szobor 222/2013 (IX.17.)</t>
  </si>
  <si>
    <t>"Káposztás fiú" Szobor 223/2013 (IX. 17.)</t>
  </si>
  <si>
    <t>repülőgép károk</t>
  </si>
  <si>
    <t>Önkormányzat által folyósított segélyek</t>
  </si>
  <si>
    <t>19/1999. VII.17. ÖK. rendelet</t>
  </si>
  <si>
    <t>AIRLED pályázat</t>
  </si>
  <si>
    <t>Képviselői tiszteletdíj és járuléka</t>
  </si>
  <si>
    <t>24/2014. (II. 25.) Ök. Határozat alapján (Temetési költség)</t>
  </si>
  <si>
    <t>Téli közmunkaprogram támogatási előlege</t>
  </si>
  <si>
    <t>Kistérségi elszámolás</t>
  </si>
  <si>
    <t>Szociális közmunka jellegű foglalkoztatás 233/2013 (X.29.) ök hat.</t>
  </si>
  <si>
    <t>Vecsés Közrendjéért és Közbiztonságáért Közalapítvány támogatása</t>
  </si>
  <si>
    <t>Ádám utca 2. ingatlan vétel</t>
  </si>
  <si>
    <t>236/2013 (X.29.) Ök határozat Gazdasági stratégiai fejlesztési terv és koncepció elkészítése</t>
  </si>
  <si>
    <t>Vecsési Tájházért Alapítvány</t>
  </si>
  <si>
    <t>Közbeszerzési eljárások lefolytatása</t>
  </si>
  <si>
    <t>ÁROP-2013-0031. Pályázat</t>
  </si>
  <si>
    <t>Helyi vizuál reg. Licenc</t>
  </si>
  <si>
    <t>Halmi Telepi Általános Iskola energetikai pályázat</t>
  </si>
  <si>
    <t>Járulék</t>
  </si>
  <si>
    <t>Munkaadói, munkavállalói járulék</t>
  </si>
  <si>
    <t>Kötváll nyitó összes intézmény</t>
  </si>
  <si>
    <t xml:space="preserve">Adótöbbletbevétel visszapótlása </t>
  </si>
  <si>
    <t>Adótöbbletbevétel visszapótlása EÜ.</t>
  </si>
  <si>
    <t>GASZTRO alaptőke emelés</t>
  </si>
  <si>
    <t xml:space="preserve">nyári járőr szolgálat munkabére és járuléka </t>
  </si>
  <si>
    <t>szemétszállítás</t>
  </si>
  <si>
    <t>hóügyelet</t>
  </si>
  <si>
    <t>Karácsonyi díszvilágítás</t>
  </si>
  <si>
    <t xml:space="preserve">Térfigyelő kamerák </t>
  </si>
  <si>
    <t>térfigyelő kamerák karbantartása</t>
  </si>
  <si>
    <t>VIS MAIOR keret</t>
  </si>
  <si>
    <t>Zöldfelület karbantartások</t>
  </si>
  <si>
    <t>Játszóeszközök karbantartása (játszótéri és óvodai)</t>
  </si>
  <si>
    <t>Játszótéri homokozók árnyékolása</t>
  </si>
  <si>
    <t>PH számítógépek</t>
  </si>
  <si>
    <t>Városközpont kiegészítő munkái</t>
  </si>
  <si>
    <t>Iskolák közüzemi díjai ( gáz)</t>
  </si>
  <si>
    <t>Grassalkovich A. Általános Iskola</t>
  </si>
  <si>
    <t>Andrássy Gyula Általános Iskola</t>
  </si>
  <si>
    <t>Szabadidőpark</t>
  </si>
  <si>
    <t>Mentőpont</t>
  </si>
  <si>
    <t>Ádám utcai ingatlan vétel 298/2013. (XII.17.)</t>
  </si>
  <si>
    <t>Szántók vásárlása 142/2013. (X.28.)</t>
  </si>
  <si>
    <t xml:space="preserve">Ravatalozó </t>
  </si>
  <si>
    <t>Vecsés Közrendjéért és Közbiztonságért Alapítvány</t>
  </si>
  <si>
    <t>Vecsési Polgárőr Egyesület</t>
  </si>
  <si>
    <t>A vecsési rendőrőrs üzemanyagköltsége</t>
  </si>
  <si>
    <t>Út- és járdaépítés</t>
  </si>
  <si>
    <t>Intézményi érintésvédelmi, villámvédelmi felülvizsgálst, és a felmerült hiányosságok javítása</t>
  </si>
  <si>
    <t>Andrássy Gy. Általános Iskola</t>
  </si>
  <si>
    <t>Konyhai dolgozók juttatása</t>
  </si>
  <si>
    <t>Tündérkert Óvoda csőtörés utáni kárelhárítás</t>
  </si>
  <si>
    <t>Piactér energiabővítése</t>
  </si>
  <si>
    <t xml:space="preserve">Civilszervezetek  támogatása </t>
  </si>
  <si>
    <t>Kézilabda</t>
  </si>
  <si>
    <t>VFC</t>
  </si>
  <si>
    <t>Egészségügyi Szolgálat támogatása</t>
  </si>
  <si>
    <t>Városgondnok Kft támogatása</t>
  </si>
  <si>
    <t>kamat</t>
  </si>
  <si>
    <t>tőke</t>
  </si>
  <si>
    <t>Ezer forintban</t>
  </si>
  <si>
    <t>ESZKÖZÖK</t>
  </si>
  <si>
    <t>sor-
szám</t>
  </si>
  <si>
    <t>Bruttó érték</t>
  </si>
  <si>
    <t>Nettó érték</t>
  </si>
  <si>
    <t>MÉRLEG összeg</t>
  </si>
  <si>
    <t>EÜ</t>
  </si>
  <si>
    <t>I. Immateriális javak (2+5)</t>
  </si>
  <si>
    <t>Törzsvagyon (3+4)</t>
  </si>
  <si>
    <t>Forgalomképtelen (3.1.+3.2.)</t>
  </si>
  <si>
    <t>-kizárólagos önkormányzati tulajdonban álló vagyon</t>
  </si>
  <si>
    <t>-nemzetgazdasági szempontból kiemelt jelentőségű vagyon</t>
  </si>
  <si>
    <t>Korlátozottan forgalomképes</t>
  </si>
  <si>
    <t xml:space="preserve">Üzleti vagyon </t>
  </si>
  <si>
    <t>II. Tárgyi eszközök (7+12+17+19+21+26+31)</t>
  </si>
  <si>
    <t>1. Ingatlanok és kapcsolódó vagyoni értékű jogok (8+11)</t>
  </si>
  <si>
    <t>Törzsvagyon (9+10)</t>
  </si>
  <si>
    <t>Forgalomképtelen (9.1.+9.2.)</t>
  </si>
  <si>
    <t>9.1.</t>
  </si>
  <si>
    <t xml:space="preserve">        Helyi közutak és műtárgyaik</t>
  </si>
  <si>
    <t>9.1.1.</t>
  </si>
  <si>
    <t xml:space="preserve">        Terek, parkok</t>
  </si>
  <si>
    <t>9.1.2.</t>
  </si>
  <si>
    <t xml:space="preserve">        Helyi önkormányzat tulajdonában álló nemzetközi kereskedelmi repülőtér</t>
  </si>
  <si>
    <t>9.1.3.</t>
  </si>
  <si>
    <t xml:space="preserve">        Helyi önkormányzat tulajdonában álló vizek, közcélú vízi létesítmények      .       (ide nem értve a vízi közműveket)</t>
  </si>
  <si>
    <t>9.1.4.</t>
  </si>
  <si>
    <t>9.2.</t>
  </si>
  <si>
    <t xml:space="preserve">        Nemzeti vagyonról szóló tv. 2. számú melléklete szerinti</t>
  </si>
  <si>
    <t>9.2.1.</t>
  </si>
  <si>
    <t xml:space="preserve">        Törvényben, helyi rendeletben ekként meghatározott vagyonelem</t>
  </si>
  <si>
    <t>9.2.2.</t>
  </si>
  <si>
    <t xml:space="preserve">Korlátozottan forgalomképes </t>
  </si>
  <si>
    <t>2. Gépek, berendezések és felszerelések (13+16)</t>
  </si>
  <si>
    <t>Törzsvagyon (14+15)</t>
  </si>
  <si>
    <t>Forgalomképtelen (14.1.+14.2.)</t>
  </si>
  <si>
    <t>14.1.</t>
  </si>
  <si>
    <t>14.2.</t>
  </si>
  <si>
    <t>14.2.1.</t>
  </si>
  <si>
    <t>14.2.2.</t>
  </si>
  <si>
    <t xml:space="preserve">3. Járművek  </t>
  </si>
  <si>
    <t xml:space="preserve">4. Tenyészállatok </t>
  </si>
  <si>
    <t>5. Beruházások, felújítások (22+25)</t>
  </si>
  <si>
    <t>Törzsvagyon (23+24)</t>
  </si>
  <si>
    <t>Forgalomképtelen (23.1.+23.2.)</t>
  </si>
  <si>
    <t>23.1.</t>
  </si>
  <si>
    <t>23.2.</t>
  </si>
  <si>
    <t>6. Beruházásra adott előlegek (27+30)</t>
  </si>
  <si>
    <t>Törzsvagyon (28+29)</t>
  </si>
  <si>
    <t>Forgalomképtelen  (28.1+28.2)</t>
  </si>
  <si>
    <t>28.1.</t>
  </si>
  <si>
    <t>28.2.</t>
  </si>
  <si>
    <t>7. Tárgyi eszközök értékhelyesbítése</t>
  </si>
  <si>
    <t>III. Befektetett pénzügyi eszközök (33+37+38+39+40+41+42)</t>
  </si>
  <si>
    <t>1. Tartós részesedés (34+37)</t>
  </si>
  <si>
    <t>Törzsvagyon (35+36)</t>
  </si>
  <si>
    <t>Forgalomképtelen (35.1.+35.1.2.)</t>
  </si>
  <si>
    <t>35.1.</t>
  </si>
  <si>
    <t>35.2.</t>
  </si>
  <si>
    <t>2. Tartós hitelviszonyt megtestesítő értékpapír</t>
  </si>
  <si>
    <t>3. Tartósan adott kölcsön</t>
  </si>
  <si>
    <t xml:space="preserve">4.Hosszú lejáratú betétek </t>
  </si>
  <si>
    <t>5. Egyéb hosszú lejáratú követelések</t>
  </si>
  <si>
    <t>7. Befektetett pénzügyi eszközök értékhelyesbítése</t>
  </si>
  <si>
    <t>IV. Üzemeltetésre, kezelésre átadott, koncesszióba, vagyonkezelésbe adott, illetve vagyonkezelésbe vett eszközök (44+47)</t>
  </si>
  <si>
    <t>Törzsvagyon (45+46)</t>
  </si>
  <si>
    <t>Forgalomképtelen  (45.1+45.2)</t>
  </si>
  <si>
    <t>45.1.</t>
  </si>
  <si>
    <t>45.2.</t>
  </si>
  <si>
    <t>A) BEFEKTETETT ESZKÖZÖK ÖSSZESEN (1+6+32+43)</t>
  </si>
  <si>
    <t>I. Készletek</t>
  </si>
  <si>
    <t>II. Követelések</t>
  </si>
  <si>
    <t>III. Értékpapírok</t>
  </si>
  <si>
    <t>IV. Pénzeszközök</t>
  </si>
  <si>
    <t>V. Egyéb aktív pénzügyi elszámolások</t>
  </si>
  <si>
    <t>B) FORGÓESZKÖZÖK ÖSSZESEN (49+50+51+52+53)</t>
  </si>
  <si>
    <t>ESZKÖZÖK ÖSSZESEN (48+54)</t>
  </si>
  <si>
    <t>FORRÁSOK</t>
  </si>
  <si>
    <t>I. Tartós tőke</t>
  </si>
  <si>
    <t>II. Tőkeváltozások</t>
  </si>
  <si>
    <t>III. Értékelési tartalék</t>
  </si>
  <si>
    <t>D) SAJÁT TŐKE (1+2+3)</t>
  </si>
  <si>
    <t>I. Költségvetési tartalékok</t>
  </si>
  <si>
    <t>II. Vállalkozási tartalékok</t>
  </si>
  <si>
    <t>E) TARTALÉKOK (5+6)</t>
  </si>
  <si>
    <t xml:space="preserve">I. Hosszú lejáratú kötelezettségek </t>
  </si>
  <si>
    <t xml:space="preserve">II. Rövid lejáratú kötelezettségek </t>
  </si>
  <si>
    <t>III. Egyéb passzív pénzügyi elszámolások</t>
  </si>
  <si>
    <t xml:space="preserve"> KÖTELEZETTSÉGEK (1+2+3)</t>
  </si>
  <si>
    <t>FORRÁSOK ÖSSZESEN (4+7+11)</t>
  </si>
  <si>
    <t>PH,ÖNK, INT:</t>
  </si>
  <si>
    <t>EÜ Szolg.</t>
  </si>
  <si>
    <t>I. Immateriális javak (2+3)</t>
  </si>
  <si>
    <t>"0"-ra leírt, de használatban lévő</t>
  </si>
  <si>
    <t>"0"-ra leírt, használaton kívüli</t>
  </si>
  <si>
    <t>II. Tárgyi eszközök (5+8+11+14)</t>
  </si>
  <si>
    <t>1. Ingatlanok és kapcsolódó vagyoni értékű jogok (6+7)</t>
  </si>
  <si>
    <t>2. Gépek, berendezések és felszerelések (9+10)</t>
  </si>
  <si>
    <t>3. Járművek (12+13)</t>
  </si>
  <si>
    <t>4. Tenyészállatok (15+16)</t>
  </si>
  <si>
    <t>IV. Üzemeltetésre, kezelésre átadott, koncesszióba, vagyonkezelésbe adott, illetve vagyonkezelésbe vett szközök (18+19)</t>
  </si>
  <si>
    <t>ÖSSZESEN (1+4+17)</t>
  </si>
  <si>
    <t>VAGYONKIMUTATÁS</t>
  </si>
  <si>
    <t xml:space="preserve">az érték nélkül nyilvántartott eszközeiről </t>
  </si>
  <si>
    <t>Mennyiség (db)</t>
  </si>
  <si>
    <t xml:space="preserve">                            Érték
</t>
  </si>
  <si>
    <t>Képzőművészeti alkotások(kisplasztika)</t>
  </si>
  <si>
    <t>Képzőművészeti alkotások</t>
  </si>
  <si>
    <t>Régészeti leletek</t>
  </si>
  <si>
    <t>Kép- és hangarchívum</t>
  </si>
  <si>
    <t>Gyűjtemények</t>
  </si>
  <si>
    <t>Kulturális javak</t>
  </si>
  <si>
    <t>Összesen (1+2+3+4+5)</t>
  </si>
  <si>
    <t xml:space="preserve">                              Érték
</t>
  </si>
  <si>
    <t xml:space="preserve">Kezességvállalással kapcsolatos függő kötelezettség </t>
  </si>
  <si>
    <t>Garanciavállalással kapcsolatos függő kötelezettség</t>
  </si>
  <si>
    <t>Összesen (1+2)</t>
  </si>
  <si>
    <r>
      <t xml:space="preserve">
</t>
    </r>
    <r>
      <rPr>
        <b/>
        <sz val="16"/>
        <rFont val="Times New Roman"/>
        <family val="1"/>
        <charset val="238"/>
      </rPr>
      <t xml:space="preserve">Vecsés Város Önkormányzat                                                              </t>
    </r>
    <r>
      <rPr>
        <b/>
        <sz val="12"/>
        <rFont val="Times New Roman"/>
        <family val="1"/>
        <charset val="238"/>
      </rPr>
      <t>VAGYONKIMUTATÁS
a mérlegben értékkel nem szereplő kötelezettségekről 2013. év</t>
    </r>
  </si>
  <si>
    <t xml:space="preserve"> 2013. év</t>
  </si>
  <si>
    <r>
      <t xml:space="preserve">
</t>
    </r>
    <r>
      <rPr>
        <b/>
        <sz val="16"/>
        <rFont val="Times New Roman"/>
        <family val="1"/>
        <charset val="238"/>
      </rPr>
      <t xml:space="preserve">Vecsés Város Önkormányzat     </t>
    </r>
    <r>
      <rPr>
        <b/>
        <sz val="10"/>
        <rFont val="Times New Roman"/>
        <family val="1"/>
        <charset val="238"/>
      </rPr>
      <t xml:space="preserve">                                                                             </t>
    </r>
    <r>
      <rPr>
        <b/>
        <sz val="12"/>
        <rFont val="Times New Roman"/>
        <family val="1"/>
        <charset val="238"/>
      </rPr>
      <t>VAGYONKIMUTATÁS
a könyvviteli mérlegben értékkel szereplő eszközökről 2013. év</t>
    </r>
  </si>
  <si>
    <r>
      <t xml:space="preserve">
</t>
    </r>
    <r>
      <rPr>
        <b/>
        <sz val="16"/>
        <rFont val="Times New Roman"/>
        <family val="1"/>
        <charset val="238"/>
      </rPr>
      <t xml:space="preserve">Vecsés Város Önkormányzat                                                                       </t>
    </r>
    <r>
      <rPr>
        <b/>
        <sz val="10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VAGYONKIMUTATÁS
a könyvviteli mérlegben értékkel szereplő kötelezettségekről 2013. év</t>
    </r>
  </si>
  <si>
    <r>
      <t xml:space="preserve">
</t>
    </r>
    <r>
      <rPr>
        <b/>
        <sz val="16"/>
        <rFont val="Times New Roman"/>
        <family val="1"/>
        <charset val="238"/>
      </rPr>
      <t xml:space="preserve">Vecsés Város Önkormányzat                                                            </t>
    </r>
    <r>
      <rPr>
        <b/>
        <sz val="1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V</t>
    </r>
    <r>
      <rPr>
        <b/>
        <sz val="12"/>
        <rFont val="Times New Roman"/>
        <family val="1"/>
        <charset val="238"/>
      </rPr>
      <t>AGYONKIMUTATÁS
a "0"-ra leírt eszközökről 2013. év</t>
    </r>
  </si>
  <si>
    <t>Az intézményi világítás korszerűsítés megvalósítására 2006. évben az  MFB által refinanszírozott hitel felvételével került sor, melynek visszafizetési ütemezését a táblázat 5. sora mutatja be.</t>
  </si>
  <si>
    <t>A Viziközmű Társulat által felvett csatorna beruházási hitel törlesztéséhez Vecsés Város Önkormányzata kézfizető kezességet vállalt, mely éves ütemezése atáblázat 14., 15. során megtekinthető.</t>
  </si>
  <si>
    <t>Össz</t>
  </si>
  <si>
    <t>5.1.8</t>
  </si>
  <si>
    <t>Ebből:</t>
  </si>
  <si>
    <t>Vecsési Hagyományőrző Zenegyesület</t>
  </si>
  <si>
    <t xml:space="preserve">"Megmaradunk 3000" Vecsés Magyar Kultúrája Ápolásáért Alapítvány </t>
  </si>
  <si>
    <t>Lumpen-Klumpen tánccsoport</t>
  </si>
  <si>
    <t>Balla Péter Népdalkör</t>
  </si>
  <si>
    <t>II. számú nyugdíjasklub</t>
  </si>
  <si>
    <t>III. számú nyugdíjasklub</t>
  </si>
  <si>
    <t>Mozgássérültek Budapesti Egyesülete Vecsési Szerv.</t>
  </si>
  <si>
    <t>Dobrovitz Kft. Fogathajtó verseny megrendezésére</t>
  </si>
  <si>
    <t>Diák Művészeti Csoport</t>
  </si>
  <si>
    <t>Felosztásra nem került keret</t>
  </si>
  <si>
    <t>Concerto Harmonia</t>
  </si>
  <si>
    <t>Vecsés városközpontjának funkcióbővítő fejlesztése és rahabilitációja KMOP-5.2.1/B-2f-2009-0013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</si>
</sst>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yyyy\-mm\-dd"/>
    <numFmt numFmtId="167" formatCode="mmm\ d/"/>
    <numFmt numFmtId="168" formatCode="#,##0.0"/>
    <numFmt numFmtId="169" formatCode="0.0"/>
    <numFmt numFmtId="170" formatCode="_-* #,##0\ _F_t_-;\-* #,##0\ _F_t_-;_-* \-??\ _F_t_-;_-@_-"/>
    <numFmt numFmtId="171" formatCode="#,##0_ ;\-#,##0\ "/>
    <numFmt numFmtId="172" formatCode="#"/>
    <numFmt numFmtId="173" formatCode="_-* #,##0\ _F_t_-;\-* #,##0\ _F_t_-;_-* &quot;- &quot;_F_t_-;_-@_-"/>
    <numFmt numFmtId="174" formatCode="#,##0_ ;[Red]\-#,##0\ "/>
    <numFmt numFmtId="175" formatCode="#,###.0000"/>
  </numFmts>
  <fonts count="111">
    <font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b/>
      <sz val="13"/>
      <name val="Arial"/>
      <family val="2"/>
      <charset val="238"/>
    </font>
    <font>
      <i/>
      <sz val="11"/>
      <name val="Times New Roman CE"/>
      <family val="1"/>
      <charset val="238"/>
    </font>
    <font>
      <b/>
      <sz val="11"/>
      <color indexed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2"/>
      <color indexed="10"/>
      <name val="Times New Roman CE"/>
      <family val="1"/>
      <charset val="238"/>
    </font>
    <font>
      <sz val="8"/>
      <color indexed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3"/>
      <name val="Times New Roman"/>
      <family val="1"/>
      <charset val="238"/>
    </font>
    <font>
      <sz val="13"/>
      <name val="Arial"/>
      <family val="2"/>
      <charset val="238"/>
    </font>
    <font>
      <i/>
      <sz val="11"/>
      <name val="Times New Roman"/>
      <family val="1"/>
      <charset val="238"/>
    </font>
    <font>
      <i/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9"/>
      <name val="Times New Roman CE"/>
      <family val="1"/>
      <charset val="238"/>
    </font>
    <font>
      <i/>
      <sz val="13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3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sz val="16"/>
      <name val="Times New Roman CE"/>
      <family val="1"/>
      <charset val="238"/>
    </font>
    <font>
      <sz val="12"/>
      <name val="Times New Roman CE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name val="Times New Roman CE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sz val="13"/>
      <name val="Times New Roman CE"/>
      <family val="1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13"/>
      <name val="Times New Roman CE"/>
      <charset val="238"/>
    </font>
    <font>
      <sz val="8"/>
      <color rgb="FFC00000"/>
      <name val="Times New Roman CE"/>
      <family val="1"/>
      <charset val="238"/>
    </font>
    <font>
      <sz val="10"/>
      <name val="Mang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Times New Roman CE"/>
      <charset val="238"/>
    </font>
    <font>
      <sz val="10"/>
      <name val="Arial CE"/>
      <family val="2"/>
      <charset val="238"/>
    </font>
    <font>
      <b/>
      <sz val="16"/>
      <name val="Times New Roman"/>
      <family val="1"/>
      <charset val="238"/>
    </font>
    <font>
      <b/>
      <sz val="15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31"/>
      </patternFill>
    </fill>
    <fill>
      <patternFill patternType="solid">
        <fgColor indexed="31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gray0625">
        <bgColor theme="7" tint="0.59999389629810485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27"/>
        <bgColor indexed="41"/>
      </patternFill>
    </fill>
    <fill>
      <patternFill patternType="solid">
        <fgColor indexed="47"/>
        <bgColor indexed="31"/>
      </patternFill>
    </fill>
  </fills>
  <borders count="33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auto="1"/>
      </left>
      <right/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164" fontId="66" fillId="0" borderId="0" applyFill="0" applyBorder="0" applyAlignment="0" applyProtection="0"/>
    <xf numFmtId="164" fontId="66" fillId="0" borderId="0" applyFill="0" applyBorder="0" applyAlignment="0" applyProtection="0"/>
    <xf numFmtId="43" fontId="7" fillId="0" borderId="0" applyFont="0" applyFill="0" applyBorder="0" applyAlignment="0" applyProtection="0"/>
    <xf numFmtId="164" fontId="66" fillId="0" borderId="0" applyFill="0" applyBorder="0" applyAlignment="0" applyProtection="0"/>
    <xf numFmtId="164" fontId="66" fillId="0" borderId="0" applyFill="0" applyBorder="0" applyAlignment="0" applyProtection="0"/>
    <xf numFmtId="164" fontId="66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2" fillId="0" borderId="0"/>
    <xf numFmtId="0" fontId="66" fillId="0" borderId="0"/>
    <xf numFmtId="0" fontId="66" fillId="0" borderId="0"/>
    <xf numFmtId="0" fontId="8" fillId="0" borderId="0"/>
    <xf numFmtId="0" fontId="4" fillId="0" borderId="0"/>
    <xf numFmtId="0" fontId="9" fillId="0" borderId="0"/>
    <xf numFmtId="0" fontId="3" fillId="0" borderId="0"/>
    <xf numFmtId="0" fontId="4" fillId="0" borderId="0"/>
    <xf numFmtId="0" fontId="2" fillId="0" borderId="0"/>
    <xf numFmtId="0" fontId="86" fillId="0" borderId="0"/>
    <xf numFmtId="0" fontId="1" fillId="0" borderId="0"/>
    <xf numFmtId="0" fontId="100" fillId="0" borderId="0"/>
    <xf numFmtId="0" fontId="9" fillId="0" borderId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54" fillId="0" borderId="0"/>
    <xf numFmtId="164" fontId="66" fillId="0" borderId="0" applyFill="0" applyBorder="0" applyAlignment="0" applyProtection="0"/>
    <xf numFmtId="173" fontId="66" fillId="0" borderId="0" applyFill="0" applyBorder="0" applyAlignment="0" applyProtection="0"/>
    <xf numFmtId="164" fontId="104" fillId="0" borderId="0" applyFill="0" applyBorder="0" applyAlignment="0" applyProtection="0"/>
    <xf numFmtId="164" fontId="66" fillId="0" borderId="0" applyFill="0" applyBorder="0" applyAlignment="0" applyProtection="0"/>
    <xf numFmtId="164" fontId="66" fillId="0" borderId="0" applyFill="0" applyBorder="0" applyAlignment="0" applyProtection="0"/>
    <xf numFmtId="164" fontId="66" fillId="0" borderId="0" applyFill="0" applyBorder="0" applyAlignment="0" applyProtection="0"/>
    <xf numFmtId="0" fontId="54" fillId="0" borderId="0"/>
    <xf numFmtId="0" fontId="54" fillId="0" borderId="0"/>
    <xf numFmtId="0" fontId="66" fillId="0" borderId="0"/>
    <xf numFmtId="0" fontId="4" fillId="0" borderId="0"/>
    <xf numFmtId="9" fontId="66" fillId="0" borderId="0" applyFill="0" applyBorder="0" applyAlignment="0" applyProtection="0"/>
    <xf numFmtId="0" fontId="66" fillId="0" borderId="0"/>
    <xf numFmtId="0" fontId="9" fillId="0" borderId="0"/>
    <xf numFmtId="0" fontId="9" fillId="0" borderId="0"/>
    <xf numFmtId="0" fontId="108" fillId="0" borderId="0"/>
    <xf numFmtId="0" fontId="4" fillId="0" borderId="0"/>
  </cellStyleXfs>
  <cellXfs count="2027">
    <xf numFmtId="0" fontId="0" fillId="0" borderId="0" xfId="0"/>
    <xf numFmtId="0" fontId="10" fillId="0" borderId="0" xfId="19" applyFont="1" applyFill="1" applyAlignment="1">
      <alignment horizontal="left"/>
    </xf>
    <xf numFmtId="0" fontId="9" fillId="0" borderId="0" xfId="19" applyFill="1"/>
    <xf numFmtId="0" fontId="11" fillId="0" borderId="1" xfId="19" applyFont="1" applyFill="1" applyBorder="1" applyAlignment="1" applyProtection="1">
      <alignment horizontal="left" vertical="center"/>
    </xf>
    <xf numFmtId="0" fontId="12" fillId="0" borderId="2" xfId="19" applyFont="1" applyFill="1" applyBorder="1" applyAlignment="1" applyProtection="1">
      <alignment horizontal="center" vertical="center" wrapText="1"/>
    </xf>
    <xf numFmtId="0" fontId="12" fillId="0" borderId="3" xfId="19" applyFont="1" applyFill="1" applyBorder="1" applyAlignment="1" applyProtection="1">
      <alignment horizontal="center" vertical="center" wrapText="1"/>
    </xf>
    <xf numFmtId="0" fontId="13" fillId="0" borderId="0" xfId="19" applyFont="1" applyFill="1"/>
    <xf numFmtId="0" fontId="14" fillId="2" borderId="0" xfId="9" applyFont="1" applyFill="1" applyBorder="1" applyAlignment="1">
      <alignment horizontal="center"/>
    </xf>
    <xf numFmtId="0" fontId="11" fillId="0" borderId="4" xfId="19" applyFont="1" applyFill="1" applyBorder="1" applyAlignment="1" applyProtection="1">
      <alignment horizontal="left" vertical="center"/>
    </xf>
    <xf numFmtId="0" fontId="11" fillId="0" borderId="5" xfId="19" applyFont="1" applyFill="1" applyBorder="1" applyAlignment="1" applyProtection="1">
      <alignment horizontal="left" vertical="center" wrapText="1" indent="1"/>
    </xf>
    <xf numFmtId="3" fontId="11" fillId="0" borderId="6" xfId="19" applyNumberFormat="1" applyFont="1" applyFill="1" applyBorder="1" applyAlignment="1" applyProtection="1">
      <alignment horizontal="right" vertical="center" wrapText="1"/>
    </xf>
    <xf numFmtId="0" fontId="10" fillId="0" borderId="0" xfId="19" applyFont="1" applyFill="1"/>
    <xf numFmtId="0" fontId="11" fillId="0" borderId="2" xfId="19" applyFont="1" applyFill="1" applyBorder="1" applyAlignment="1" applyProtection="1">
      <alignment horizontal="left" vertical="center" wrapText="1" indent="1"/>
    </xf>
    <xf numFmtId="3" fontId="11" fillId="0" borderId="7" xfId="19" applyNumberFormat="1" applyFont="1" applyFill="1" applyBorder="1" applyAlignment="1" applyProtection="1">
      <alignment horizontal="right" vertical="center" wrapText="1"/>
      <protection locked="0"/>
    </xf>
    <xf numFmtId="49" fontId="10" fillId="0" borderId="8" xfId="19" applyNumberFormat="1" applyFont="1" applyFill="1" applyBorder="1" applyAlignment="1" applyProtection="1">
      <alignment horizontal="left" vertical="center"/>
    </xf>
    <xf numFmtId="0" fontId="10" fillId="0" borderId="9" xfId="19" applyFont="1" applyFill="1" applyBorder="1" applyAlignment="1" applyProtection="1">
      <alignment horizontal="left" vertical="center" wrapText="1" indent="1"/>
    </xf>
    <xf numFmtId="3" fontId="10" fillId="0" borderId="10" xfId="19" applyNumberFormat="1" applyFont="1" applyFill="1" applyBorder="1" applyAlignment="1" applyProtection="1">
      <alignment horizontal="right" vertical="center" wrapText="1"/>
      <protection locked="0"/>
    </xf>
    <xf numFmtId="3" fontId="11" fillId="0" borderId="7" xfId="19" applyNumberFormat="1" applyFont="1" applyFill="1" applyBorder="1" applyAlignment="1" applyProtection="1">
      <alignment horizontal="right" vertical="center" wrapText="1"/>
    </xf>
    <xf numFmtId="49" fontId="10" fillId="0" borderId="11" xfId="19" applyNumberFormat="1" applyFont="1" applyFill="1" applyBorder="1" applyAlignment="1" applyProtection="1">
      <alignment horizontal="left" vertical="center"/>
    </xf>
    <xf numFmtId="0" fontId="10" fillId="0" borderId="12" xfId="19" applyFont="1" applyFill="1" applyBorder="1" applyAlignment="1" applyProtection="1">
      <alignment horizontal="left" vertical="center" wrapText="1" indent="1"/>
    </xf>
    <xf numFmtId="3" fontId="10" fillId="0" borderId="13" xfId="19" applyNumberFormat="1" applyFont="1" applyFill="1" applyBorder="1" applyAlignment="1" applyProtection="1">
      <alignment horizontal="right" vertical="center" wrapText="1"/>
      <protection locked="0"/>
    </xf>
    <xf numFmtId="49" fontId="10" fillId="0" borderId="14" xfId="19" applyNumberFormat="1" applyFont="1" applyFill="1" applyBorder="1" applyAlignment="1" applyProtection="1">
      <alignment horizontal="left" vertical="center"/>
    </xf>
    <xf numFmtId="0" fontId="10" fillId="0" borderId="15" xfId="19" applyFont="1" applyFill="1" applyBorder="1" applyAlignment="1" applyProtection="1">
      <alignment horizontal="left" vertical="center" wrapText="1" indent="1"/>
    </xf>
    <xf numFmtId="49" fontId="10" fillId="0" borderId="16" xfId="19" applyNumberFormat="1" applyFont="1" applyFill="1" applyBorder="1" applyAlignment="1" applyProtection="1">
      <alignment horizontal="left" vertical="center"/>
    </xf>
    <xf numFmtId="0" fontId="10" fillId="0" borderId="17" xfId="19" applyFont="1" applyFill="1" applyBorder="1" applyAlignment="1" applyProtection="1">
      <alignment horizontal="left" vertical="center" wrapText="1" indent="1"/>
    </xf>
    <xf numFmtId="3" fontId="11" fillId="0" borderId="18" xfId="19" applyNumberFormat="1" applyFont="1" applyFill="1" applyBorder="1" applyAlignment="1" applyProtection="1">
      <alignment horizontal="right" vertical="center" wrapText="1"/>
    </xf>
    <xf numFmtId="49" fontId="10" fillId="0" borderId="19" xfId="19" applyNumberFormat="1" applyFont="1" applyFill="1" applyBorder="1" applyAlignment="1" applyProtection="1">
      <alignment horizontal="left" vertical="center"/>
    </xf>
    <xf numFmtId="0" fontId="10" fillId="0" borderId="20" xfId="19" applyFont="1" applyFill="1" applyBorder="1" applyAlignment="1" applyProtection="1">
      <alignment horizontal="left" vertical="center" wrapText="1" indent="1"/>
    </xf>
    <xf numFmtId="3" fontId="10" fillId="0" borderId="21" xfId="19" applyNumberFormat="1" applyFont="1" applyFill="1" applyBorder="1" applyAlignment="1" applyProtection="1">
      <alignment horizontal="right" vertical="center" wrapText="1"/>
      <protection locked="0"/>
    </xf>
    <xf numFmtId="49" fontId="10" fillId="0" borderId="22" xfId="19" applyNumberFormat="1" applyFont="1" applyFill="1" applyBorder="1" applyAlignment="1" applyProtection="1">
      <alignment horizontal="left" vertical="center"/>
    </xf>
    <xf numFmtId="0" fontId="15" fillId="0" borderId="20" xfId="19" applyFont="1" applyFill="1" applyBorder="1" applyAlignment="1" applyProtection="1">
      <alignment horizontal="left" vertical="center" wrapText="1" indent="1"/>
    </xf>
    <xf numFmtId="3" fontId="10" fillId="0" borderId="21" xfId="19" applyNumberFormat="1" applyFont="1" applyFill="1" applyBorder="1" applyAlignment="1" applyProtection="1">
      <alignment horizontal="right" vertical="center" wrapText="1"/>
    </xf>
    <xf numFmtId="0" fontId="10" fillId="0" borderId="9" xfId="19" applyFont="1" applyFill="1" applyBorder="1" applyAlignment="1" applyProtection="1">
      <alignment horizontal="left" vertical="center" wrapText="1" indent="2"/>
    </xf>
    <xf numFmtId="49" fontId="10" fillId="0" borderId="23" xfId="19" applyNumberFormat="1" applyFont="1" applyFill="1" applyBorder="1" applyAlignment="1" applyProtection="1">
      <alignment horizontal="left" vertical="center"/>
    </xf>
    <xf numFmtId="0" fontId="10" fillId="0" borderId="24" xfId="19" applyFont="1" applyFill="1" applyBorder="1" applyAlignment="1" applyProtection="1">
      <alignment horizontal="left" vertical="center" wrapText="1" indent="2"/>
    </xf>
    <xf numFmtId="3" fontId="10" fillId="0" borderId="18" xfId="19" applyNumberFormat="1" applyFont="1" applyFill="1" applyBorder="1" applyAlignment="1" applyProtection="1">
      <alignment horizontal="right" vertical="center" wrapText="1"/>
    </xf>
    <xf numFmtId="0" fontId="10" fillId="0" borderId="0" xfId="19" applyFont="1" applyFill="1" applyAlignment="1" applyProtection="1">
      <alignment horizontal="left" indent="1"/>
    </xf>
    <xf numFmtId="3" fontId="10" fillId="0" borderId="25" xfId="19" applyNumberFormat="1" applyFont="1" applyFill="1" applyBorder="1" applyAlignment="1" applyProtection="1">
      <alignment horizontal="right" vertical="center" wrapText="1"/>
      <protection locked="0"/>
    </xf>
    <xf numFmtId="3" fontId="10" fillId="0" borderId="7" xfId="19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19" applyFont="1" applyFill="1"/>
    <xf numFmtId="0" fontId="17" fillId="0" borderId="2" xfId="19" applyFont="1" applyFill="1" applyBorder="1" applyAlignment="1" applyProtection="1">
      <alignment horizontal="left" vertical="center" wrapText="1" indent="1"/>
    </xf>
    <xf numFmtId="3" fontId="17" fillId="0" borderId="7" xfId="19" applyNumberFormat="1" applyFont="1" applyFill="1" applyBorder="1" applyAlignment="1" applyProtection="1">
      <alignment horizontal="right" vertical="center" wrapText="1"/>
    </xf>
    <xf numFmtId="49" fontId="11" fillId="0" borderId="1" xfId="19" applyNumberFormat="1" applyFont="1" applyFill="1" applyBorder="1" applyAlignment="1" applyProtection="1">
      <alignment horizontal="left" vertical="center"/>
    </xf>
    <xf numFmtId="3" fontId="10" fillId="0" borderId="18" xfId="19" applyNumberFormat="1" applyFont="1" applyFill="1" applyBorder="1" applyAlignment="1" applyProtection="1">
      <alignment horizontal="right" vertical="center" wrapText="1"/>
      <protection locked="0"/>
    </xf>
    <xf numFmtId="3" fontId="15" fillId="0" borderId="25" xfId="19" applyNumberFormat="1" applyFont="1" applyFill="1" applyBorder="1" applyAlignment="1" applyProtection="1">
      <alignment horizontal="right" vertical="center" wrapText="1"/>
    </xf>
    <xf numFmtId="0" fontId="10" fillId="0" borderId="20" xfId="19" applyFont="1" applyFill="1" applyBorder="1" applyAlignment="1" applyProtection="1">
      <alignment horizontal="left" vertical="center" wrapText="1" indent="2"/>
    </xf>
    <xf numFmtId="3" fontId="10" fillId="0" borderId="26" xfId="19" applyNumberFormat="1" applyFont="1" applyFill="1" applyBorder="1" applyAlignment="1" applyProtection="1">
      <alignment horizontal="right" vertical="center" wrapText="1"/>
      <protection locked="0"/>
    </xf>
    <xf numFmtId="3" fontId="15" fillId="0" borderId="26" xfId="19" applyNumberFormat="1" applyFont="1" applyFill="1" applyBorder="1" applyAlignment="1" applyProtection="1">
      <alignment horizontal="right" vertical="center" wrapText="1"/>
    </xf>
    <xf numFmtId="0" fontId="10" fillId="0" borderId="27" xfId="19" applyFont="1" applyFill="1" applyBorder="1" applyAlignment="1" applyProtection="1">
      <alignment horizontal="left" vertical="center" wrapText="1" indent="2"/>
    </xf>
    <xf numFmtId="3" fontId="10" fillId="0" borderId="28" xfId="19" applyNumberFormat="1" applyFont="1" applyFill="1" applyBorder="1" applyAlignment="1" applyProtection="1">
      <alignment horizontal="right" vertical="center" wrapText="1"/>
      <protection locked="0"/>
    </xf>
    <xf numFmtId="0" fontId="11" fillId="2" borderId="1" xfId="19" applyFont="1" applyFill="1" applyBorder="1" applyAlignment="1" applyProtection="1">
      <alignment horizontal="left" vertical="center"/>
    </xf>
    <xf numFmtId="0" fontId="12" fillId="2" borderId="2" xfId="19" applyFont="1" applyFill="1" applyBorder="1" applyAlignment="1" applyProtection="1">
      <alignment vertical="center" wrapText="1"/>
    </xf>
    <xf numFmtId="3" fontId="12" fillId="2" borderId="7" xfId="19" applyNumberFormat="1" applyFont="1" applyFill="1" applyBorder="1" applyAlignment="1" applyProtection="1">
      <alignment vertical="center" wrapText="1"/>
    </xf>
    <xf numFmtId="0" fontId="0" fillId="0" borderId="29" xfId="19" applyFont="1" applyFill="1" applyBorder="1"/>
    <xf numFmtId="0" fontId="0" fillId="0" borderId="0" xfId="19" applyFont="1" applyFill="1"/>
    <xf numFmtId="0" fontId="18" fillId="2" borderId="0" xfId="9" applyFont="1" applyFill="1" applyBorder="1" applyAlignment="1">
      <alignment horizontal="center"/>
    </xf>
    <xf numFmtId="0" fontId="11" fillId="0" borderId="5" xfId="19" applyFont="1" applyFill="1" applyBorder="1" applyAlignment="1" applyProtection="1">
      <alignment vertical="center" wrapText="1"/>
    </xf>
    <xf numFmtId="3" fontId="11" fillId="0" borderId="2" xfId="19" applyNumberFormat="1" applyFont="1" applyFill="1" applyBorder="1" applyAlignment="1" applyProtection="1">
      <alignment vertical="center" wrapText="1"/>
    </xf>
    <xf numFmtId="3" fontId="11" fillId="0" borderId="7" xfId="19" applyNumberFormat="1" applyFont="1" applyFill="1" applyBorder="1" applyAlignment="1" applyProtection="1">
      <alignment vertical="center" wrapText="1"/>
    </xf>
    <xf numFmtId="3" fontId="10" fillId="0" borderId="21" xfId="19" applyNumberFormat="1" applyFont="1" applyFill="1" applyBorder="1" applyAlignment="1" applyProtection="1">
      <alignment vertical="center" wrapText="1"/>
      <protection locked="0"/>
    </xf>
    <xf numFmtId="3" fontId="10" fillId="0" borderId="10" xfId="19" applyNumberFormat="1" applyFont="1" applyFill="1" applyBorder="1" applyAlignment="1" applyProtection="1">
      <alignment vertical="center" wrapText="1"/>
      <protection locked="0"/>
    </xf>
    <xf numFmtId="0" fontId="10" fillId="0" borderId="0" xfId="19" applyFont="1" applyFill="1" applyBorder="1" applyAlignment="1" applyProtection="1">
      <alignment horizontal="left" vertical="center" wrapText="1" indent="1"/>
    </xf>
    <xf numFmtId="49" fontId="10" fillId="0" borderId="9" xfId="19" applyNumberFormat="1" applyFont="1" applyFill="1" applyBorder="1" applyAlignment="1" applyProtection="1">
      <alignment horizontal="left" vertical="center"/>
    </xf>
    <xf numFmtId="0" fontId="10" fillId="0" borderId="9" xfId="19" applyFont="1" applyFill="1" applyBorder="1" applyAlignment="1" applyProtection="1">
      <alignment horizontal="left" indent="2"/>
    </xf>
    <xf numFmtId="0" fontId="10" fillId="0" borderId="9" xfId="19" applyFont="1" applyFill="1" applyBorder="1" applyAlignment="1" applyProtection="1">
      <alignment horizontal="left" wrapText="1" indent="4"/>
    </xf>
    <xf numFmtId="3" fontId="10" fillId="0" borderId="25" xfId="19" applyNumberFormat="1" applyFont="1" applyFill="1" applyBorder="1" applyAlignment="1" applyProtection="1">
      <alignment vertical="center" wrapText="1"/>
      <protection locked="0"/>
    </xf>
    <xf numFmtId="3" fontId="10" fillId="0" borderId="18" xfId="19" applyNumberFormat="1" applyFont="1" applyFill="1" applyBorder="1" applyAlignment="1" applyProtection="1">
      <alignment vertical="center" wrapText="1"/>
      <protection locked="0"/>
    </xf>
    <xf numFmtId="0" fontId="11" fillId="0" borderId="2" xfId="19" applyFont="1" applyFill="1" applyBorder="1" applyAlignment="1" applyProtection="1">
      <alignment vertical="center" wrapText="1"/>
    </xf>
    <xf numFmtId="0" fontId="10" fillId="0" borderId="9" xfId="19" applyFont="1" applyFill="1" applyBorder="1" applyAlignment="1" applyProtection="1">
      <alignment horizontal="left" wrapText="1" indent="2"/>
    </xf>
    <xf numFmtId="3" fontId="10" fillId="0" borderId="26" xfId="19" applyNumberFormat="1" applyFont="1" applyFill="1" applyBorder="1" applyAlignment="1" applyProtection="1">
      <alignment vertical="center" wrapText="1"/>
      <protection locked="0"/>
    </xf>
    <xf numFmtId="3" fontId="11" fillId="0" borderId="7" xfId="19" applyNumberFormat="1" applyFont="1" applyFill="1" applyBorder="1" applyAlignment="1" applyProtection="1">
      <alignment vertical="center" wrapText="1"/>
      <protection locked="0"/>
    </xf>
    <xf numFmtId="0" fontId="10" fillId="0" borderId="13" xfId="19" applyFont="1" applyFill="1" applyBorder="1"/>
    <xf numFmtId="3" fontId="10" fillId="0" borderId="10" xfId="19" applyNumberFormat="1" applyFont="1" applyFill="1" applyBorder="1" applyAlignment="1" applyProtection="1">
      <alignment vertical="center" wrapText="1"/>
    </xf>
    <xf numFmtId="3" fontId="10" fillId="3" borderId="18" xfId="19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19" applyFont="1" applyFill="1"/>
    <xf numFmtId="0" fontId="20" fillId="0" borderId="0" xfId="19" applyFont="1" applyFill="1" applyBorder="1" applyAlignment="1" applyProtection="1">
      <alignment horizontal="left" vertical="center" wrapText="1"/>
    </xf>
    <xf numFmtId="165" fontId="11" fillId="0" borderId="7" xfId="19" applyNumberFormat="1" applyFont="1" applyFill="1" applyBorder="1" applyAlignment="1" applyProtection="1">
      <alignment horizontal="right" vertical="center" wrapText="1"/>
    </xf>
    <xf numFmtId="0" fontId="9" fillId="0" borderId="29" xfId="19" applyFill="1" applyBorder="1"/>
    <xf numFmtId="0" fontId="22" fillId="0" borderId="0" xfId="19" applyFont="1" applyFill="1"/>
    <xf numFmtId="3" fontId="10" fillId="0" borderId="13" xfId="19" applyNumberFormat="1" applyFont="1" applyFill="1" applyBorder="1" applyAlignment="1" applyProtection="1">
      <alignment horizontal="right" vertical="center" wrapText="1"/>
    </xf>
    <xf numFmtId="3" fontId="10" fillId="0" borderId="10" xfId="19" applyNumberFormat="1" applyFont="1" applyFill="1" applyBorder="1" applyAlignment="1" applyProtection="1">
      <alignment horizontal="right" vertical="center" wrapText="1"/>
    </xf>
    <xf numFmtId="0" fontId="10" fillId="0" borderId="9" xfId="19" applyFont="1" applyFill="1" applyBorder="1" applyAlignment="1" applyProtection="1">
      <alignment horizontal="left" wrapText="1" indent="5"/>
    </xf>
    <xf numFmtId="3" fontId="10" fillId="0" borderId="25" xfId="19" applyNumberFormat="1" applyFont="1" applyFill="1" applyBorder="1" applyAlignment="1" applyProtection="1">
      <alignment horizontal="right" vertical="center" wrapText="1"/>
    </xf>
    <xf numFmtId="0" fontId="10" fillId="0" borderId="27" xfId="19" applyFont="1" applyFill="1" applyBorder="1" applyAlignment="1" applyProtection="1">
      <alignment horizontal="left" vertical="center" wrapText="1" indent="1"/>
    </xf>
    <xf numFmtId="3" fontId="10" fillId="0" borderId="26" xfId="19" applyNumberFormat="1" applyFont="1" applyFill="1" applyBorder="1" applyAlignment="1" applyProtection="1">
      <alignment horizontal="right" vertical="center" wrapText="1"/>
    </xf>
    <xf numFmtId="0" fontId="10" fillId="0" borderId="24" xfId="19" applyFont="1" applyFill="1" applyBorder="1" applyAlignment="1" applyProtection="1">
      <alignment horizontal="left" wrapText="1" indent="5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11" fillId="0" borderId="30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Alignment="1">
      <alignment horizontal="center" vertical="center" wrapText="1"/>
    </xf>
    <xf numFmtId="165" fontId="25" fillId="0" borderId="0" xfId="0" applyNumberFormat="1" applyFont="1" applyFill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left" vertical="center" wrapText="1" indent="1"/>
    </xf>
    <xf numFmtId="165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20" xfId="0" applyNumberFormat="1" applyFont="1" applyFill="1" applyBorder="1" applyAlignment="1" applyProtection="1">
      <alignment vertical="center" wrapText="1"/>
      <protection locked="0"/>
    </xf>
    <xf numFmtId="165" fontId="10" fillId="0" borderId="21" xfId="0" applyNumberFormat="1" applyFont="1" applyFill="1" applyBorder="1" applyAlignment="1" applyProtection="1">
      <alignment vertical="center" wrapText="1"/>
      <protection locked="0"/>
    </xf>
    <xf numFmtId="165" fontId="10" fillId="0" borderId="32" xfId="0" applyNumberFormat="1" applyFont="1" applyFill="1" applyBorder="1" applyAlignment="1">
      <alignment horizontal="left" vertical="center" wrapText="1" indent="1"/>
    </xf>
    <xf numFmtId="165" fontId="1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9" xfId="0" applyNumberFormat="1" applyFont="1" applyFill="1" applyBorder="1" applyAlignment="1" applyProtection="1">
      <alignment vertical="center" wrapText="1"/>
      <protection locked="0"/>
    </xf>
    <xf numFmtId="165" fontId="1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10" xfId="0" applyNumberFormat="1" applyFont="1" applyFill="1" applyBorder="1" applyAlignment="1" applyProtection="1">
      <alignment vertical="center" wrapText="1"/>
      <protection locked="0"/>
    </xf>
    <xf numFmtId="165" fontId="10" fillId="0" borderId="33" xfId="0" applyNumberFormat="1" applyFont="1" applyFill="1" applyBorder="1" applyAlignment="1" applyProtection="1">
      <alignment vertical="center" wrapText="1"/>
      <protection locked="0"/>
    </xf>
    <xf numFmtId="165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27" xfId="0" applyNumberFormat="1" applyFont="1" applyFill="1" applyBorder="1" applyAlignment="1" applyProtection="1">
      <alignment vertical="center" wrapText="1"/>
      <protection locked="0"/>
    </xf>
    <xf numFmtId="165" fontId="10" fillId="0" borderId="26" xfId="0" applyNumberFormat="1" applyFont="1" applyFill="1" applyBorder="1" applyAlignment="1" applyProtection="1">
      <alignment vertical="center" wrapText="1"/>
      <protection locked="0"/>
    </xf>
    <xf numFmtId="165" fontId="11" fillId="0" borderId="30" xfId="0" applyNumberFormat="1" applyFont="1" applyFill="1" applyBorder="1" applyAlignment="1">
      <alignment horizontal="left" vertical="center" wrapText="1" indent="1"/>
    </xf>
    <xf numFmtId="165" fontId="1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" xfId="0" applyNumberFormat="1" applyFont="1" applyFill="1" applyBorder="1" applyAlignment="1" applyProtection="1">
      <alignment vertical="center" wrapText="1"/>
    </xf>
    <xf numFmtId="165" fontId="11" fillId="0" borderId="1" xfId="0" applyNumberFormat="1" applyFont="1" applyFill="1" applyBorder="1" applyAlignment="1" applyProtection="1">
      <alignment horizontal="left" vertical="center" wrapText="1" indent="1"/>
    </xf>
    <xf numFmtId="165" fontId="11" fillId="0" borderId="7" xfId="0" applyNumberFormat="1" applyFont="1" applyFill="1" applyBorder="1" applyAlignment="1" applyProtection="1">
      <alignment vertical="center" wrapText="1"/>
    </xf>
    <xf numFmtId="165" fontId="11" fillId="0" borderId="34" xfId="0" applyNumberFormat="1" applyFont="1" applyFill="1" applyBorder="1" applyAlignment="1">
      <alignment horizontal="left" vertical="center" wrapText="1" indent="1"/>
    </xf>
    <xf numFmtId="165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25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32" xfId="0" applyNumberFormat="1" applyFont="1" applyFill="1" applyBorder="1" applyAlignment="1">
      <alignment horizontal="left" vertical="center" wrapText="1" indent="1"/>
    </xf>
    <xf numFmtId="165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34" xfId="0" applyNumberFormat="1" applyFont="1" applyFill="1" applyBorder="1" applyAlignment="1">
      <alignment horizontal="left" vertical="center" wrapText="1" indent="1"/>
    </xf>
    <xf numFmtId="165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0" xfId="0" applyNumberFormat="1" applyFont="1" applyFill="1" applyAlignment="1">
      <alignment horizontal="center" vertical="center" wrapText="1"/>
    </xf>
    <xf numFmtId="165" fontId="10" fillId="0" borderId="20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12" fillId="0" borderId="30" xfId="0" applyNumberFormat="1" applyFont="1" applyFill="1" applyBorder="1" applyAlignment="1">
      <alignment horizontal="left" vertical="center" wrapText="1" indent="1"/>
    </xf>
    <xf numFmtId="165" fontId="12" fillId="0" borderId="1" xfId="0" applyNumberFormat="1" applyFont="1" applyFill="1" applyBorder="1" applyAlignment="1">
      <alignment horizontal="left" vertical="center" wrapText="1" indent="1"/>
    </xf>
    <xf numFmtId="165" fontId="12" fillId="0" borderId="2" xfId="0" applyNumberFormat="1" applyFont="1" applyFill="1" applyBorder="1" applyAlignment="1" applyProtection="1">
      <alignment vertical="center" wrapText="1"/>
    </xf>
    <xf numFmtId="165" fontId="12" fillId="0" borderId="7" xfId="0" applyNumberFormat="1" applyFont="1" applyFill="1" applyBorder="1" applyAlignment="1" applyProtection="1">
      <alignment vertical="center" wrapText="1"/>
    </xf>
    <xf numFmtId="165" fontId="12" fillId="0" borderId="2" xfId="0" applyNumberFormat="1" applyFont="1" applyFill="1" applyBorder="1" applyAlignment="1" applyProtection="1">
      <alignment horizontal="right" vertical="center" wrapText="1"/>
    </xf>
    <xf numFmtId="165" fontId="12" fillId="0" borderId="7" xfId="0" applyNumberFormat="1" applyFont="1" applyFill="1" applyBorder="1" applyAlignment="1" applyProtection="1">
      <alignment horizontal="right" vertical="center" wrapText="1"/>
    </xf>
    <xf numFmtId="165" fontId="19" fillId="0" borderId="0" xfId="0" applyNumberFormat="1" applyFont="1" applyFill="1" applyAlignment="1">
      <alignment vertical="center" wrapText="1"/>
    </xf>
    <xf numFmtId="165" fontId="26" fillId="0" borderId="0" xfId="0" applyNumberFormat="1" applyFont="1" applyFill="1" applyAlignment="1">
      <alignment horizontal="left" vertical="center" wrapText="1"/>
    </xf>
    <xf numFmtId="165" fontId="9" fillId="0" borderId="0" xfId="0" applyNumberFormat="1" applyFont="1" applyFill="1" applyBorder="1" applyAlignment="1" applyProtection="1">
      <alignment vertical="center" wrapText="1"/>
    </xf>
    <xf numFmtId="165" fontId="12" fillId="0" borderId="0" xfId="0" applyNumberFormat="1" applyFont="1" applyFill="1" applyBorder="1" applyAlignment="1" applyProtection="1">
      <alignment vertical="center" wrapText="1"/>
    </xf>
    <xf numFmtId="165" fontId="0" fillId="0" borderId="0" xfId="0" applyNumberFormat="1" applyFill="1" applyBorder="1" applyAlignment="1">
      <alignment vertical="center" wrapText="1"/>
    </xf>
    <xf numFmtId="165" fontId="10" fillId="0" borderId="31" xfId="0" applyNumberFormat="1" applyFont="1" applyFill="1" applyBorder="1" applyAlignment="1">
      <alignment horizontal="right" vertical="center" wrapText="1" indent="1"/>
    </xf>
    <xf numFmtId="165" fontId="10" fillId="0" borderId="32" xfId="0" applyNumberFormat="1" applyFont="1" applyFill="1" applyBorder="1" applyAlignment="1">
      <alignment horizontal="right" vertical="center" wrapText="1" indent="1"/>
    </xf>
    <xf numFmtId="165" fontId="11" fillId="0" borderId="30" xfId="0" applyNumberFormat="1" applyFont="1" applyFill="1" applyBorder="1" applyAlignment="1">
      <alignment horizontal="right" vertical="center" wrapText="1" indent="1"/>
    </xf>
    <xf numFmtId="165" fontId="11" fillId="0" borderId="31" xfId="0" applyNumberFormat="1" applyFont="1" applyFill="1" applyBorder="1" applyAlignment="1">
      <alignment horizontal="right" vertical="center" wrapText="1" indent="1"/>
    </xf>
    <xf numFmtId="165" fontId="11" fillId="0" borderId="20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7" xfId="0" applyNumberFormat="1" applyFont="1" applyFill="1" applyBorder="1" applyAlignment="1" applyProtection="1">
      <alignment vertical="center" wrapText="1"/>
    </xf>
    <xf numFmtId="165" fontId="12" fillId="0" borderId="30" xfId="0" applyNumberFormat="1" applyFont="1" applyFill="1" applyBorder="1" applyAlignment="1">
      <alignment horizontal="right" vertical="center" wrapText="1" indent="1"/>
    </xf>
    <xf numFmtId="165" fontId="12" fillId="0" borderId="2" xfId="0" applyNumberFormat="1" applyFont="1" applyFill="1" applyBorder="1" applyAlignment="1">
      <alignment vertical="center" wrapText="1"/>
    </xf>
    <xf numFmtId="165" fontId="12" fillId="0" borderId="7" xfId="0" applyNumberFormat="1" applyFont="1" applyFill="1" applyBorder="1" applyAlignment="1">
      <alignment vertical="center" wrapText="1"/>
    </xf>
    <xf numFmtId="165" fontId="12" fillId="0" borderId="16" xfId="0" applyNumberFormat="1" applyFont="1" applyFill="1" applyBorder="1" applyAlignment="1">
      <alignment horizontal="left" vertical="center" wrapText="1" indent="1"/>
    </xf>
    <xf numFmtId="165" fontId="12" fillId="0" borderId="17" xfId="0" applyNumberFormat="1" applyFont="1" applyFill="1" applyBorder="1" applyAlignment="1" applyProtection="1">
      <alignment horizontal="right" vertical="center" wrapText="1"/>
    </xf>
    <xf numFmtId="165" fontId="12" fillId="0" borderId="28" xfId="0" applyNumberFormat="1" applyFont="1" applyFill="1" applyBorder="1" applyAlignment="1" applyProtection="1">
      <alignment horizontal="right" vertical="center" wrapText="1"/>
    </xf>
    <xf numFmtId="165" fontId="23" fillId="0" borderId="0" xfId="0" applyNumberFormat="1" applyFont="1" applyFill="1" applyAlignment="1">
      <alignment textRotation="180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165" fontId="12" fillId="0" borderId="7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right"/>
    </xf>
    <xf numFmtId="0" fontId="24" fillId="0" borderId="0" xfId="0" applyFont="1" applyFill="1" applyAlignment="1">
      <alignment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8" fillId="0" borderId="37" xfId="0" applyFont="1" applyFill="1" applyBorder="1" applyAlignment="1" applyProtection="1">
      <alignment horizontal="center" vertical="center" wrapText="1"/>
    </xf>
    <xf numFmtId="0" fontId="28" fillId="0" borderId="38" xfId="0" applyFont="1" applyFill="1" applyBorder="1" applyAlignment="1" applyProtection="1">
      <alignment horizontal="center" vertical="center" wrapText="1"/>
    </xf>
    <xf numFmtId="0" fontId="27" fillId="0" borderId="38" xfId="0" applyFont="1" applyFill="1" applyBorder="1" applyAlignment="1" applyProtection="1">
      <alignment horizontal="center" vertical="center" wrapText="1"/>
    </xf>
    <xf numFmtId="165" fontId="28" fillId="0" borderId="39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left" vertical="center" wrapText="1" indent="1"/>
    </xf>
    <xf numFmtId="0" fontId="15" fillId="0" borderId="0" xfId="0" applyFont="1" applyFill="1" applyAlignment="1">
      <alignment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left" vertical="center" wrapText="1" indent="1"/>
    </xf>
    <xf numFmtId="0" fontId="10" fillId="0" borderId="0" xfId="0" applyFont="1" applyFill="1" applyAlignment="1">
      <alignment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left" vertical="center" wrapText="1" indent="1"/>
    </xf>
    <xf numFmtId="165" fontId="10" fillId="0" borderId="25" xfId="0" applyNumberFormat="1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 applyProtection="1">
      <alignment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</xf>
    <xf numFmtId="49" fontId="10" fillId="0" borderId="27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165" fontId="10" fillId="0" borderId="13" xfId="0" applyNumberFormat="1" applyFont="1" applyFill="1" applyBorder="1" applyAlignment="1" applyProtection="1">
      <alignment vertical="center" wrapText="1"/>
      <protection locked="0"/>
    </xf>
    <xf numFmtId="165" fontId="10" fillId="0" borderId="18" xfId="0" applyNumberFormat="1" applyFont="1" applyFill="1" applyBorder="1" applyAlignment="1" applyProtection="1">
      <alignment vertical="center" wrapText="1"/>
      <protection locked="0"/>
    </xf>
    <xf numFmtId="49" fontId="10" fillId="0" borderId="12" xfId="19" applyNumberFormat="1" applyFont="1" applyFill="1" applyBorder="1" applyAlignment="1" applyProtection="1">
      <alignment horizontal="left" vertical="center" wrapText="1" indent="1"/>
    </xf>
    <xf numFmtId="49" fontId="10" fillId="0" borderId="9" xfId="19" applyNumberFormat="1" applyFont="1" applyFill="1" applyBorder="1" applyAlignment="1" applyProtection="1">
      <alignment horizontal="left" vertical="center" wrapText="1" indent="1"/>
    </xf>
    <xf numFmtId="3" fontId="10" fillId="0" borderId="0" xfId="0" applyNumberFormat="1" applyFont="1" applyFill="1" applyAlignment="1">
      <alignment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49" fontId="10" fillId="0" borderId="24" xfId="19" applyNumberFormat="1" applyFont="1" applyFill="1" applyBorder="1" applyAlignment="1" applyProtection="1">
      <alignment horizontal="left" vertical="center" wrapText="1" indent="1"/>
    </xf>
    <xf numFmtId="0" fontId="11" fillId="0" borderId="19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29" fillId="0" borderId="40" xfId="0" applyFont="1" applyBorder="1" applyAlignment="1" applyProtection="1">
      <alignment horizontal="left" wrapText="1" indent="1"/>
    </xf>
    <xf numFmtId="165" fontId="11" fillId="0" borderId="41" xfId="0" applyNumberFormat="1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</xf>
    <xf numFmtId="49" fontId="11" fillId="0" borderId="2" xfId="19" applyNumberFormat="1" applyFont="1" applyFill="1" applyBorder="1" applyAlignment="1" applyProtection="1">
      <alignment horizontal="left" vertical="center" wrapText="1" indent="1"/>
    </xf>
    <xf numFmtId="165" fontId="11" fillId="0" borderId="41" xfId="0" applyNumberFormat="1" applyFont="1" applyFill="1" applyBorder="1" applyAlignment="1" applyProtection="1">
      <alignment vertical="center" wrapText="1"/>
    </xf>
    <xf numFmtId="165" fontId="10" fillId="0" borderId="42" xfId="0" applyNumberFormat="1" applyFont="1" applyFill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wrapText="1"/>
    </xf>
    <xf numFmtId="0" fontId="32" fillId="0" borderId="19" xfId="0" applyFont="1" applyBorder="1" applyAlignment="1" applyProtection="1">
      <alignment horizontal="center" wrapText="1"/>
    </xf>
    <xf numFmtId="49" fontId="10" fillId="0" borderId="5" xfId="19" applyNumberFormat="1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Alignment="1">
      <alignment vertical="center" wrapText="1"/>
    </xf>
    <xf numFmtId="0" fontId="32" fillId="0" borderId="22" xfId="0" applyFont="1" applyBorder="1" applyAlignment="1" applyProtection="1">
      <alignment horizontal="center" wrapText="1"/>
    </xf>
    <xf numFmtId="49" fontId="10" fillId="0" borderId="27" xfId="19" applyNumberFormat="1" applyFont="1" applyFill="1" applyBorder="1" applyAlignment="1" applyProtection="1">
      <alignment horizontal="left" vertical="center" wrapText="1" indent="1"/>
    </xf>
    <xf numFmtId="0" fontId="10" fillId="0" borderId="27" xfId="0" applyFont="1" applyFill="1" applyBorder="1" applyAlignment="1" applyProtection="1">
      <alignment horizontal="left" vertical="center" wrapText="1" indent="1"/>
    </xf>
    <xf numFmtId="3" fontId="11" fillId="0" borderId="7" xfId="0" applyNumberFormat="1" applyFont="1" applyFill="1" applyBorder="1" applyAlignment="1" applyProtection="1">
      <alignment vertical="center" wrapText="1"/>
      <protection locked="0"/>
    </xf>
    <xf numFmtId="0" fontId="33" fillId="0" borderId="2" xfId="0" applyFont="1" applyBorder="1" applyAlignment="1" applyProtection="1">
      <alignment horizontal="center" wrapText="1"/>
    </xf>
    <xf numFmtId="0" fontId="29" fillId="0" borderId="2" xfId="9" applyFont="1" applyBorder="1"/>
    <xf numFmtId="0" fontId="34" fillId="0" borderId="40" xfId="0" applyFont="1" applyBorder="1" applyAlignment="1" applyProtection="1">
      <alignment horizontal="center" wrapText="1"/>
    </xf>
    <xf numFmtId="0" fontId="35" fillId="0" borderId="40" xfId="0" applyFont="1" applyBorder="1" applyAlignment="1" applyProtection="1">
      <alignment horizontal="left" wrapText="1" indent="1"/>
    </xf>
    <xf numFmtId="0" fontId="11" fillId="0" borderId="43" xfId="0" applyFont="1" applyFill="1" applyBorder="1" applyAlignment="1" applyProtection="1">
      <alignment horizontal="center" vertical="center" wrapText="1"/>
    </xf>
    <xf numFmtId="0" fontId="11" fillId="0" borderId="44" xfId="0" applyFont="1" applyFill="1" applyBorder="1" applyAlignment="1" applyProtection="1">
      <alignment horizontal="center" vertical="center" wrapText="1"/>
    </xf>
    <xf numFmtId="0" fontId="27" fillId="0" borderId="44" xfId="0" applyFont="1" applyFill="1" applyBorder="1" applyAlignment="1" applyProtection="1">
      <alignment horizontal="center" vertical="center" wrapText="1"/>
    </xf>
    <xf numFmtId="165" fontId="11" fillId="0" borderId="41" xfId="0" applyNumberFormat="1" applyFont="1" applyFill="1" applyBorder="1" applyAlignment="1" applyProtection="1">
      <alignment horizontal="center" vertical="center" wrapText="1"/>
    </xf>
    <xf numFmtId="3" fontId="10" fillId="4" borderId="0" xfId="0" applyNumberFormat="1" applyFont="1" applyFill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49" fontId="10" fillId="0" borderId="20" xfId="19" applyNumberFormat="1" applyFont="1" applyFill="1" applyBorder="1" applyAlignment="1" applyProtection="1">
      <alignment horizontal="left" vertical="center" wrapText="1" indent="1"/>
    </xf>
    <xf numFmtId="0" fontId="23" fillId="0" borderId="0" xfId="0" applyFont="1" applyFill="1" applyAlignment="1">
      <alignment vertical="center" wrapText="1"/>
    </xf>
    <xf numFmtId="0" fontId="10" fillId="0" borderId="9" xfId="19" applyFont="1" applyFill="1" applyBorder="1" applyAlignment="1" applyProtection="1">
      <alignment horizontal="left" indent="6"/>
    </xf>
    <xf numFmtId="49" fontId="10" fillId="0" borderId="15" xfId="19" applyNumberFormat="1" applyFont="1" applyFill="1" applyBorder="1" applyAlignment="1" applyProtection="1">
      <alignment horizontal="left" vertical="center" wrapText="1" indent="1"/>
    </xf>
    <xf numFmtId="0" fontId="10" fillId="0" borderId="15" xfId="19" applyFont="1" applyFill="1" applyBorder="1" applyAlignment="1" applyProtection="1">
      <alignment horizontal="left" vertical="center" wrapText="1" indent="6"/>
    </xf>
    <xf numFmtId="167" fontId="0" fillId="0" borderId="0" xfId="0" applyNumberFormat="1" applyFill="1" applyAlignment="1">
      <alignment vertical="center" wrapText="1"/>
    </xf>
    <xf numFmtId="165" fontId="11" fillId="0" borderId="7" xfId="0" applyNumberFormat="1" applyFont="1" applyFill="1" applyBorder="1" applyAlignment="1" applyProtection="1">
      <alignment vertical="center" wrapText="1"/>
      <protection locked="0"/>
    </xf>
    <xf numFmtId="0" fontId="10" fillId="0" borderId="24" xfId="19" applyFont="1" applyFill="1" applyBorder="1" applyAlignment="1" applyProtection="1">
      <alignment horizontal="left" vertical="center" wrapText="1" indent="1"/>
    </xf>
    <xf numFmtId="49" fontId="10" fillId="0" borderId="2" xfId="19" applyNumberFormat="1" applyFont="1" applyFill="1" applyBorder="1" applyAlignment="1" applyProtection="1">
      <alignment horizontal="left" vertical="center" wrapText="1" indent="1"/>
    </xf>
    <xf numFmtId="165" fontId="17" fillId="0" borderId="7" xfId="0" applyNumberFormat="1" applyFont="1" applyFill="1" applyBorder="1" applyAlignment="1" applyProtection="1">
      <alignment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 vertical="center"/>
    </xf>
    <xf numFmtId="0" fontId="10" fillId="0" borderId="44" xfId="0" applyFont="1" applyFill="1" applyBorder="1" applyAlignment="1" applyProtection="1">
      <alignment vertical="center" wrapText="1"/>
    </xf>
    <xf numFmtId="0" fontId="11" fillId="0" borderId="40" xfId="0" applyFont="1" applyFill="1" applyBorder="1" applyAlignment="1" applyProtection="1">
      <alignment vertical="center" wrapText="1"/>
    </xf>
    <xf numFmtId="4" fontId="11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0" xfId="0" applyNumberFormat="1" applyFont="1" applyFill="1" applyBorder="1" applyAlignment="1" applyProtection="1">
      <alignment vertical="center" wrapText="1"/>
      <protection locked="0"/>
    </xf>
    <xf numFmtId="3" fontId="0" fillId="4" borderId="0" xfId="0" applyNumberFormat="1" applyFill="1" applyAlignment="1">
      <alignment vertical="center" wrapText="1"/>
    </xf>
    <xf numFmtId="0" fontId="28" fillId="0" borderId="45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vertical="center"/>
    </xf>
    <xf numFmtId="3" fontId="28" fillId="0" borderId="39" xfId="0" applyNumberFormat="1" applyFont="1" applyFill="1" applyBorder="1" applyAlignment="1" applyProtection="1">
      <alignment horizontal="center" vertical="center" wrapText="1"/>
    </xf>
    <xf numFmtId="0" fontId="37" fillId="0" borderId="2" xfId="0" applyFont="1" applyFill="1" applyBorder="1" applyAlignment="1" applyProtection="1">
      <alignment horizontal="center" vertical="center" wrapText="1"/>
    </xf>
    <xf numFmtId="3" fontId="11" fillId="0" borderId="7" xfId="0" applyNumberFormat="1" applyFont="1" applyFill="1" applyBorder="1" applyAlignment="1" applyProtection="1">
      <alignment vertical="center" wrapText="1"/>
    </xf>
    <xf numFmtId="3" fontId="10" fillId="0" borderId="10" xfId="0" applyNumberFormat="1" applyFont="1" applyFill="1" applyBorder="1" applyAlignment="1" applyProtection="1">
      <alignment vertical="center" wrapText="1"/>
      <protection locked="0"/>
    </xf>
    <xf numFmtId="3" fontId="10" fillId="0" borderId="25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26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vertical="center" wrapText="1"/>
    </xf>
    <xf numFmtId="3" fontId="10" fillId="0" borderId="10" xfId="0" applyNumberFormat="1" applyFont="1" applyFill="1" applyBorder="1" applyAlignment="1" applyProtection="1">
      <alignment vertical="center" wrapText="1"/>
    </xf>
    <xf numFmtId="3" fontId="10" fillId="0" borderId="18" xfId="0" applyNumberFormat="1" applyFont="1" applyFill="1" applyBorder="1" applyAlignment="1" applyProtection="1">
      <alignment vertical="center" wrapText="1"/>
      <protection locked="0"/>
    </xf>
    <xf numFmtId="3" fontId="10" fillId="0" borderId="21" xfId="0" applyNumberFormat="1" applyFont="1" applyFill="1" applyBorder="1" applyAlignment="1" applyProtection="1">
      <alignment vertical="center" wrapText="1"/>
      <protection locked="0"/>
    </xf>
    <xf numFmtId="3" fontId="11" fillId="0" borderId="41" xfId="0" applyNumberFormat="1" applyFont="1" applyFill="1" applyBorder="1" applyAlignment="1" applyProtection="1">
      <alignment vertical="center" wrapText="1"/>
      <protection locked="0"/>
    </xf>
    <xf numFmtId="0" fontId="30" fillId="0" borderId="40" xfId="0" applyFont="1" applyBorder="1" applyAlignment="1" applyProtection="1">
      <alignment horizontal="left"/>
    </xf>
    <xf numFmtId="3" fontId="17" fillId="0" borderId="41" xfId="0" applyNumberFormat="1" applyFont="1" applyFill="1" applyBorder="1" applyAlignment="1" applyProtection="1">
      <alignment vertical="center" wrapText="1"/>
    </xf>
    <xf numFmtId="3" fontId="11" fillId="0" borderId="41" xfId="0" applyNumberFormat="1" applyFont="1" applyFill="1" applyBorder="1" applyAlignment="1" applyProtection="1">
      <alignment vertical="center" wrapText="1"/>
    </xf>
    <xf numFmtId="3" fontId="10" fillId="0" borderId="42" xfId="0" applyNumberFormat="1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3" fontId="12" fillId="2" borderId="7" xfId="0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left" vertical="center" wrapText="1" indent="1"/>
    </xf>
    <xf numFmtId="165" fontId="11" fillId="0" borderId="0" xfId="0" applyNumberFormat="1" applyFont="1" applyFill="1" applyBorder="1" applyAlignment="1" applyProtection="1">
      <alignment vertical="center" wrapText="1"/>
    </xf>
    <xf numFmtId="0" fontId="25" fillId="0" borderId="43" xfId="0" applyFont="1" applyFill="1" applyBorder="1" applyAlignment="1" applyProtection="1">
      <alignment horizontal="center" vertical="center" wrapText="1"/>
    </xf>
    <xf numFmtId="0" fontId="25" fillId="0" borderId="44" xfId="0" applyFont="1" applyFill="1" applyBorder="1" applyAlignment="1" applyProtection="1">
      <alignment horizontal="center" vertical="center" wrapText="1"/>
    </xf>
    <xf numFmtId="0" fontId="10" fillId="0" borderId="9" xfId="19" applyFont="1" applyFill="1" applyBorder="1" applyAlignment="1" applyProtection="1">
      <alignment horizontal="left" vertical="center" wrapText="1" indent="3"/>
    </xf>
    <xf numFmtId="3" fontId="15" fillId="0" borderId="18" xfId="0" applyNumberFormat="1" applyFont="1" applyFill="1" applyBorder="1" applyAlignment="1" applyProtection="1">
      <alignment vertical="center" wrapText="1"/>
      <protection locked="0"/>
    </xf>
    <xf numFmtId="0" fontId="15" fillId="0" borderId="9" xfId="19" applyFont="1" applyFill="1" applyBorder="1" applyAlignment="1" applyProtection="1">
      <alignment horizontal="left" indent="4"/>
    </xf>
    <xf numFmtId="3" fontId="15" fillId="0" borderId="10" xfId="0" applyNumberFormat="1" applyFont="1" applyFill="1" applyBorder="1" applyAlignment="1" applyProtection="1">
      <alignment vertical="center" wrapText="1"/>
      <protection locked="0"/>
    </xf>
    <xf numFmtId="0" fontId="15" fillId="0" borderId="27" xfId="19" applyFont="1" applyFill="1" applyBorder="1" applyAlignment="1" applyProtection="1">
      <alignment horizontal="left" indent="4"/>
    </xf>
    <xf numFmtId="3" fontId="15" fillId="0" borderId="26" xfId="0" applyNumberFormat="1" applyFont="1" applyFill="1" applyBorder="1" applyAlignment="1" applyProtection="1">
      <alignment vertical="center" wrapText="1"/>
      <protection locked="0"/>
    </xf>
    <xf numFmtId="3" fontId="17" fillId="0" borderId="7" xfId="0" applyNumberFormat="1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168" fontId="11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9"/>
    <xf numFmtId="49" fontId="7" fillId="0" borderId="0" xfId="9" applyNumberFormat="1"/>
    <xf numFmtId="0" fontId="38" fillId="0" borderId="27" xfId="9" applyFont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 vertical="center" wrapText="1"/>
    </xf>
    <xf numFmtId="0" fontId="29" fillId="0" borderId="33" xfId="9" applyFont="1" applyBorder="1"/>
    <xf numFmtId="49" fontId="29" fillId="0" borderId="36" xfId="9" applyNumberFormat="1" applyFont="1" applyBorder="1"/>
    <xf numFmtId="49" fontId="29" fillId="0" borderId="46" xfId="9" applyNumberFormat="1" applyFont="1" applyBorder="1"/>
    <xf numFmtId="0" fontId="39" fillId="0" borderId="9" xfId="9" applyFont="1" applyBorder="1" applyAlignment="1">
      <alignment horizontal="center"/>
    </xf>
    <xf numFmtId="3" fontId="29" fillId="0" borderId="20" xfId="9" applyNumberFormat="1" applyFont="1" applyBorder="1"/>
    <xf numFmtId="3" fontId="18" fillId="2" borderId="20" xfId="9" applyNumberFormat="1" applyFont="1" applyFill="1" applyBorder="1"/>
    <xf numFmtId="0" fontId="40" fillId="0" borderId="33" xfId="9" applyFont="1" applyBorder="1"/>
    <xf numFmtId="49" fontId="18" fillId="0" borderId="36" xfId="9" applyNumberFormat="1" applyFont="1" applyBorder="1"/>
    <xf numFmtId="49" fontId="18" fillId="0" borderId="46" xfId="9" applyNumberFormat="1" applyFont="1" applyBorder="1"/>
    <xf numFmtId="0" fontId="18" fillId="0" borderId="9" xfId="9" applyFont="1" applyBorder="1"/>
    <xf numFmtId="3" fontId="18" fillId="0" borderId="9" xfId="9" applyNumberFormat="1" applyFont="1" applyBorder="1"/>
    <xf numFmtId="0" fontId="41" fillId="0" borderId="0" xfId="9" applyFont="1"/>
    <xf numFmtId="0" fontId="42" fillId="0" borderId="33" xfId="9" applyFont="1" applyBorder="1"/>
    <xf numFmtId="49" fontId="30" fillId="0" borderId="36" xfId="9" applyNumberFormat="1" applyFont="1" applyBorder="1"/>
    <xf numFmtId="49" fontId="30" fillId="0" borderId="46" xfId="9" applyNumberFormat="1" applyFont="1" applyBorder="1"/>
    <xf numFmtId="0" fontId="30" fillId="0" borderId="9" xfId="9" applyFont="1" applyBorder="1"/>
    <xf numFmtId="3" fontId="30" fillId="0" borderId="9" xfId="9" applyNumberFormat="1" applyFont="1" applyBorder="1"/>
    <xf numFmtId="0" fontId="43" fillId="0" borderId="0" xfId="9" applyFont="1"/>
    <xf numFmtId="0" fontId="44" fillId="0" borderId="33" xfId="9" applyFont="1" applyBorder="1"/>
    <xf numFmtId="0" fontId="44" fillId="0" borderId="9" xfId="9" applyFont="1" applyBorder="1"/>
    <xf numFmtId="3" fontId="44" fillId="0" borderId="9" xfId="9" applyNumberFormat="1" applyFont="1" applyBorder="1"/>
    <xf numFmtId="0" fontId="45" fillId="0" borderId="0" xfId="9" applyFont="1"/>
    <xf numFmtId="49" fontId="46" fillId="0" borderId="46" xfId="9" applyNumberFormat="1" applyFont="1" applyBorder="1" applyAlignment="1">
      <alignment horizontal="left"/>
    </xf>
    <xf numFmtId="0" fontId="42" fillId="0" borderId="9" xfId="9" applyFont="1" applyBorder="1"/>
    <xf numFmtId="3" fontId="42" fillId="0" borderId="9" xfId="9" applyNumberFormat="1" applyFont="1" applyBorder="1"/>
    <xf numFmtId="0" fontId="7" fillId="0" borderId="0" xfId="9" applyFont="1"/>
    <xf numFmtId="49" fontId="42" fillId="0" borderId="36" xfId="9" applyNumberFormat="1" applyFont="1" applyBorder="1"/>
    <xf numFmtId="49" fontId="47" fillId="0" borderId="46" xfId="9" applyNumberFormat="1" applyFont="1" applyBorder="1"/>
    <xf numFmtId="49" fontId="46" fillId="0" borderId="46" xfId="9" applyNumberFormat="1" applyFont="1" applyBorder="1"/>
    <xf numFmtId="49" fontId="46" fillId="0" borderId="36" xfId="9" applyNumberFormat="1" applyFont="1" applyBorder="1" applyAlignment="1">
      <alignment horizontal="left"/>
    </xf>
    <xf numFmtId="3" fontId="44" fillId="0" borderId="47" xfId="9" applyNumberFormat="1" applyFont="1" applyBorder="1"/>
    <xf numFmtId="0" fontId="44" fillId="0" borderId="20" xfId="9" applyFont="1" applyBorder="1"/>
    <xf numFmtId="0" fontId="44" fillId="0" borderId="9" xfId="9" applyFont="1" applyBorder="1" applyAlignment="1">
      <alignment horizontal="left" indent="3"/>
    </xf>
    <xf numFmtId="3" fontId="18" fillId="5" borderId="20" xfId="9" applyNumberFormat="1" applyFont="1" applyFill="1" applyBorder="1"/>
    <xf numFmtId="49" fontId="18" fillId="0" borderId="36" xfId="9" applyNumberFormat="1" applyFont="1" applyBorder="1" applyAlignment="1">
      <alignment vertical="center"/>
    </xf>
    <xf numFmtId="0" fontId="18" fillId="0" borderId="9" xfId="9" applyFont="1" applyBorder="1" applyAlignment="1">
      <alignment wrapText="1"/>
    </xf>
    <xf numFmtId="167" fontId="42" fillId="0" borderId="33" xfId="9" applyNumberFormat="1" applyFont="1" applyBorder="1"/>
    <xf numFmtId="0" fontId="7" fillId="0" borderId="0" xfId="9" applyFill="1"/>
    <xf numFmtId="0" fontId="18" fillId="2" borderId="33" xfId="9" applyFont="1" applyFill="1" applyBorder="1"/>
    <xf numFmtId="49" fontId="18" fillId="2" borderId="36" xfId="9" applyNumberFormat="1" applyFont="1" applyFill="1" applyBorder="1"/>
    <xf numFmtId="49" fontId="18" fillId="2" borderId="46" xfId="9" applyNumberFormat="1" applyFont="1" applyFill="1" applyBorder="1"/>
    <xf numFmtId="0" fontId="18" fillId="2" borderId="9" xfId="9" applyFont="1" applyFill="1" applyBorder="1"/>
    <xf numFmtId="3" fontId="18" fillId="2" borderId="9" xfId="9" applyNumberFormat="1" applyFont="1" applyFill="1" applyBorder="1"/>
    <xf numFmtId="167" fontId="40" fillId="0" borderId="33" xfId="9" applyNumberFormat="1" applyFont="1" applyBorder="1"/>
    <xf numFmtId="3" fontId="7" fillId="0" borderId="0" xfId="9" applyNumberFormat="1"/>
    <xf numFmtId="0" fontId="50" fillId="2" borderId="33" xfId="9" applyFont="1" applyFill="1" applyBorder="1"/>
    <xf numFmtId="49" fontId="50" fillId="2" borderId="36" xfId="9" applyNumberFormat="1" applyFont="1" applyFill="1" applyBorder="1"/>
    <xf numFmtId="49" fontId="50" fillId="2" borderId="46" xfId="9" applyNumberFormat="1" applyFont="1" applyFill="1" applyBorder="1"/>
    <xf numFmtId="0" fontId="39" fillId="2" borderId="9" xfId="9" applyFont="1" applyFill="1" applyBorder="1"/>
    <xf numFmtId="3" fontId="39" fillId="2" borderId="9" xfId="9" applyNumberFormat="1" applyFont="1" applyFill="1" applyBorder="1"/>
    <xf numFmtId="3" fontId="39" fillId="3" borderId="9" xfId="9" applyNumberFormat="1" applyFont="1" applyFill="1" applyBorder="1"/>
    <xf numFmtId="3" fontId="39" fillId="5" borderId="46" xfId="9" applyNumberFormat="1" applyFont="1" applyFill="1" applyBorder="1" applyAlignment="1">
      <alignment vertical="center"/>
    </xf>
    <xf numFmtId="0" fontId="38" fillId="0" borderId="9" xfId="9" applyFont="1" applyBorder="1" applyAlignment="1">
      <alignment horizontal="center" vertical="center" wrapText="1"/>
    </xf>
    <xf numFmtId="0" fontId="51" fillId="0" borderId="0" xfId="9" applyFont="1" applyBorder="1" applyAlignment="1">
      <alignment horizontal="center"/>
    </xf>
    <xf numFmtId="3" fontId="18" fillId="2" borderId="46" xfId="9" applyNumberFormat="1" applyFont="1" applyFill="1" applyBorder="1" applyAlignment="1">
      <alignment horizontal="center"/>
    </xf>
    <xf numFmtId="3" fontId="18" fillId="2" borderId="0" xfId="9" applyNumberFormat="1" applyFont="1" applyFill="1" applyBorder="1"/>
    <xf numFmtId="0" fontId="44" fillId="0" borderId="48" xfId="9" applyFont="1" applyBorder="1"/>
    <xf numFmtId="49" fontId="29" fillId="0" borderId="49" xfId="9" applyNumberFormat="1" applyFont="1" applyBorder="1"/>
    <xf numFmtId="49" fontId="29" fillId="0" borderId="50" xfId="9" applyNumberFormat="1" applyFont="1" applyBorder="1"/>
    <xf numFmtId="0" fontId="29" fillId="0" borderId="20" xfId="9" applyFont="1" applyBorder="1"/>
    <xf numFmtId="49" fontId="44" fillId="0" borderId="49" xfId="9" applyNumberFormat="1" applyFont="1" applyBorder="1"/>
    <xf numFmtId="49" fontId="44" fillId="0" borderId="50" xfId="9" applyNumberFormat="1" applyFont="1" applyBorder="1"/>
    <xf numFmtId="3" fontId="44" fillId="0" borderId="20" xfId="9" applyNumberFormat="1" applyFont="1" applyBorder="1"/>
    <xf numFmtId="3" fontId="7" fillId="0" borderId="0" xfId="9" applyNumberFormat="1" applyFont="1"/>
    <xf numFmtId="0" fontId="29" fillId="0" borderId="9" xfId="9" applyFont="1" applyBorder="1"/>
    <xf numFmtId="3" fontId="29" fillId="0" borderId="9" xfId="9" applyNumberFormat="1" applyFont="1" applyBorder="1"/>
    <xf numFmtId="0" fontId="42" fillId="0" borderId="33" xfId="9" applyFont="1" applyFill="1" applyBorder="1"/>
    <xf numFmtId="49" fontId="30" fillId="0" borderId="36" xfId="9" applyNumberFormat="1" applyFont="1" applyFill="1" applyBorder="1"/>
    <xf numFmtId="49" fontId="44" fillId="0" borderId="50" xfId="9" applyNumberFormat="1" applyFont="1" applyFill="1" applyBorder="1"/>
    <xf numFmtId="0" fontId="44" fillId="0" borderId="20" xfId="9" applyFont="1" applyFill="1" applyBorder="1"/>
    <xf numFmtId="3" fontId="44" fillId="0" borderId="20" xfId="9" applyNumberFormat="1" applyFont="1" applyFill="1" applyBorder="1"/>
    <xf numFmtId="3" fontId="43" fillId="0" borderId="0" xfId="9" applyNumberFormat="1" applyFont="1"/>
    <xf numFmtId="49" fontId="44" fillId="0" borderId="36" xfId="9" applyNumberFormat="1" applyFont="1" applyBorder="1"/>
    <xf numFmtId="49" fontId="44" fillId="0" borderId="46" xfId="9" applyNumberFormat="1" applyFont="1" applyBorder="1"/>
    <xf numFmtId="49" fontId="42" fillId="0" borderId="46" xfId="9" applyNumberFormat="1" applyFont="1" applyBorder="1"/>
    <xf numFmtId="0" fontId="23" fillId="0" borderId="9" xfId="9" applyFont="1" applyFill="1" applyBorder="1" applyAlignment="1">
      <alignment horizontal="left" vertical="center" wrapText="1"/>
    </xf>
    <xf numFmtId="3" fontId="42" fillId="0" borderId="9" xfId="9" applyNumberFormat="1" applyFont="1" applyFill="1" applyBorder="1"/>
    <xf numFmtId="3" fontId="44" fillId="0" borderId="9" xfId="9" applyNumberFormat="1" applyFont="1" applyFill="1" applyBorder="1"/>
    <xf numFmtId="0" fontId="44" fillId="0" borderId="9" xfId="9" applyFont="1" applyFill="1" applyBorder="1" applyAlignment="1">
      <alignment vertical="center" wrapText="1"/>
    </xf>
    <xf numFmtId="0" fontId="52" fillId="0" borderId="0" xfId="9" applyFont="1"/>
    <xf numFmtId="3" fontId="52" fillId="0" borderId="0" xfId="9" applyNumberFormat="1" applyFont="1"/>
    <xf numFmtId="0" fontId="29" fillId="3" borderId="33" xfId="9" applyFont="1" applyFill="1" applyBorder="1"/>
    <xf numFmtId="49" fontId="29" fillId="3" borderId="36" xfId="9" applyNumberFormat="1" applyFont="1" applyFill="1" applyBorder="1"/>
    <xf numFmtId="49" fontId="44" fillId="3" borderId="46" xfId="9" applyNumberFormat="1" applyFont="1" applyFill="1" applyBorder="1"/>
    <xf numFmtId="0" fontId="44" fillId="3" borderId="9" xfId="9" applyFont="1" applyFill="1" applyBorder="1" applyAlignment="1">
      <alignment vertical="center" wrapText="1"/>
    </xf>
    <xf numFmtId="3" fontId="44" fillId="3" borderId="9" xfId="9" applyNumberFormat="1" applyFont="1" applyFill="1" applyBorder="1"/>
    <xf numFmtId="0" fontId="52" fillId="3" borderId="0" xfId="9" applyFont="1" applyFill="1"/>
    <xf numFmtId="3" fontId="52" fillId="3" borderId="0" xfId="9" applyNumberFormat="1" applyFont="1" applyFill="1"/>
    <xf numFmtId="0" fontId="29" fillId="0" borderId="33" xfId="9" applyFont="1" applyFill="1" applyBorder="1"/>
    <xf numFmtId="49" fontId="29" fillId="0" borderId="36" xfId="9" applyNumberFormat="1" applyFont="1" applyFill="1" applyBorder="1"/>
    <xf numFmtId="49" fontId="44" fillId="0" borderId="46" xfId="9" applyNumberFormat="1" applyFont="1" applyFill="1" applyBorder="1"/>
    <xf numFmtId="0" fontId="0" fillId="0" borderId="9" xfId="9" applyFont="1" applyFill="1" applyBorder="1" applyAlignment="1">
      <alignment horizontal="left" vertical="center" wrapText="1"/>
    </xf>
    <xf numFmtId="0" fontId="10" fillId="0" borderId="9" xfId="9" applyFont="1" applyFill="1" applyBorder="1" applyAlignment="1">
      <alignment horizontal="justify" vertical="center" wrapText="1"/>
    </xf>
    <xf numFmtId="0" fontId="29" fillId="0" borderId="51" xfId="9" applyFont="1" applyBorder="1"/>
    <xf numFmtId="49" fontId="29" fillId="0" borderId="38" xfId="9" applyNumberFormat="1" applyFont="1" applyBorder="1"/>
    <xf numFmtId="0" fontId="10" fillId="0" borderId="27" xfId="9" applyFont="1" applyFill="1" applyBorder="1" applyAlignment="1">
      <alignment vertical="center" wrapText="1"/>
    </xf>
    <xf numFmtId="3" fontId="44" fillId="0" borderId="27" xfId="9" applyNumberFormat="1" applyFont="1" applyBorder="1"/>
    <xf numFmtId="0" fontId="10" fillId="0" borderId="27" xfId="9" applyFont="1" applyFill="1" applyBorder="1" applyAlignment="1">
      <alignment horizontal="justify" vertical="center" wrapText="1"/>
    </xf>
    <xf numFmtId="0" fontId="23" fillId="0" borderId="9" xfId="9" applyFont="1" applyFill="1" applyBorder="1" applyAlignment="1">
      <alignment horizontal="left" vertical="center" wrapText="1" indent="2"/>
    </xf>
    <xf numFmtId="3" fontId="42" fillId="0" borderId="27" xfId="9" applyNumberFormat="1" applyFont="1" applyBorder="1"/>
    <xf numFmtId="49" fontId="29" fillId="0" borderId="52" xfId="9" applyNumberFormat="1" applyFont="1" applyBorder="1"/>
    <xf numFmtId="0" fontId="11" fillId="0" borderId="27" xfId="9" applyFont="1" applyFill="1" applyBorder="1" applyAlignment="1">
      <alignment vertical="center" wrapText="1"/>
    </xf>
    <xf numFmtId="3" fontId="29" fillId="0" borderId="27" xfId="9" applyNumberFormat="1" applyFont="1" applyBorder="1"/>
    <xf numFmtId="49" fontId="44" fillId="0" borderId="52" xfId="9" applyNumberFormat="1" applyFont="1" applyBorder="1"/>
    <xf numFmtId="0" fontId="15" fillId="3" borderId="27" xfId="9" applyFont="1" applyFill="1" applyBorder="1" applyAlignment="1">
      <alignment vertical="center" wrapText="1"/>
    </xf>
    <xf numFmtId="3" fontId="42" fillId="3" borderId="27" xfId="9" applyNumberFormat="1" applyFont="1" applyFill="1" applyBorder="1"/>
    <xf numFmtId="0" fontId="44" fillId="0" borderId="33" xfId="9" applyFont="1" applyFill="1" applyBorder="1"/>
    <xf numFmtId="49" fontId="29" fillId="0" borderId="46" xfId="9" applyNumberFormat="1" applyFont="1" applyFill="1" applyBorder="1"/>
    <xf numFmtId="0" fontId="29" fillId="0" borderId="9" xfId="9" applyFont="1" applyFill="1" applyBorder="1"/>
    <xf numFmtId="3" fontId="29" fillId="0" borderId="9" xfId="9" applyNumberFormat="1" applyFont="1" applyFill="1" applyBorder="1"/>
    <xf numFmtId="3" fontId="18" fillId="5" borderId="9" xfId="9" applyNumberFormat="1" applyFont="1" applyFill="1" applyBorder="1"/>
    <xf numFmtId="0" fontId="18" fillId="0" borderId="0" xfId="9" applyFont="1" applyFill="1" applyBorder="1" applyAlignment="1"/>
    <xf numFmtId="0" fontId="7" fillId="0" borderId="0" xfId="9" applyFill="1" applyBorder="1" applyAlignment="1"/>
    <xf numFmtId="3" fontId="18" fillId="0" borderId="0" xfId="9" applyNumberFormat="1" applyFont="1" applyFill="1" applyBorder="1"/>
    <xf numFmtId="0" fontId="18" fillId="2" borderId="48" xfId="9" applyFont="1" applyFill="1" applyBorder="1"/>
    <xf numFmtId="49" fontId="18" fillId="2" borderId="49" xfId="9" applyNumberFormat="1" applyFont="1" applyFill="1" applyBorder="1"/>
    <xf numFmtId="49" fontId="18" fillId="2" borderId="50" xfId="9" applyNumberFormat="1" applyFont="1" applyFill="1" applyBorder="1"/>
    <xf numFmtId="3" fontId="18" fillId="2" borderId="50" xfId="9" applyNumberFormat="1" applyFont="1" applyFill="1" applyBorder="1" applyAlignment="1">
      <alignment horizontal="center"/>
    </xf>
    <xf numFmtId="167" fontId="40" fillId="0" borderId="51" xfId="9" applyNumberFormat="1" applyFont="1" applyBorder="1"/>
    <xf numFmtId="49" fontId="18" fillId="0" borderId="38" xfId="9" applyNumberFormat="1" applyFont="1" applyBorder="1"/>
    <xf numFmtId="49" fontId="18" fillId="0" borderId="52" xfId="9" applyNumberFormat="1" applyFont="1" applyBorder="1"/>
    <xf numFmtId="3" fontId="18" fillId="0" borderId="27" xfId="9" applyNumberFormat="1" applyFont="1" applyBorder="1"/>
    <xf numFmtId="167" fontId="40" fillId="3" borderId="33" xfId="9" applyNumberFormat="1" applyFont="1" applyFill="1" applyBorder="1"/>
    <xf numFmtId="49" fontId="18" fillId="3" borderId="36" xfId="9" applyNumberFormat="1" applyFont="1" applyFill="1" applyBorder="1"/>
    <xf numFmtId="49" fontId="18" fillId="3" borderId="46" xfId="9" applyNumberFormat="1" applyFont="1" applyFill="1" applyBorder="1"/>
    <xf numFmtId="0" fontId="18" fillId="3" borderId="9" xfId="9" applyFont="1" applyFill="1" applyBorder="1"/>
    <xf numFmtId="3" fontId="18" fillId="3" borderId="9" xfId="9" applyNumberFormat="1" applyFont="1" applyFill="1" applyBorder="1"/>
    <xf numFmtId="49" fontId="29" fillId="3" borderId="46" xfId="9" applyNumberFormat="1" applyFont="1" applyFill="1" applyBorder="1"/>
    <xf numFmtId="0" fontId="29" fillId="3" borderId="9" xfId="9" applyFont="1" applyFill="1" applyBorder="1"/>
    <xf numFmtId="3" fontId="29" fillId="3" borderId="9" xfId="9" applyNumberFormat="1" applyFont="1" applyFill="1" applyBorder="1"/>
    <xf numFmtId="3" fontId="44" fillId="3" borderId="20" xfId="9" applyNumberFormat="1" applyFont="1" applyFill="1" applyBorder="1"/>
    <xf numFmtId="3" fontId="18" fillId="2" borderId="36" xfId="9" applyNumberFormat="1" applyFont="1" applyFill="1" applyBorder="1" applyAlignment="1">
      <alignment horizontal="center"/>
    </xf>
    <xf numFmtId="168" fontId="29" fillId="0" borderId="9" xfId="9" applyNumberFormat="1" applyFont="1" applyBorder="1" applyAlignment="1">
      <alignment horizontal="center"/>
    </xf>
    <xf numFmtId="0" fontId="29" fillId="0" borderId="48" xfId="9" applyFont="1" applyBorder="1"/>
    <xf numFmtId="0" fontId="29" fillId="0" borderId="20" xfId="9" applyFont="1" applyBorder="1" applyAlignment="1">
      <alignment wrapText="1"/>
    </xf>
    <xf numFmtId="3" fontId="29" fillId="0" borderId="47" xfId="9" applyNumberFormat="1" applyFont="1" applyBorder="1"/>
    <xf numFmtId="49" fontId="7" fillId="0" borderId="0" xfId="9" applyNumberFormat="1" applyBorder="1"/>
    <xf numFmtId="3" fontId="29" fillId="0" borderId="9" xfId="9" applyNumberFormat="1" applyFont="1" applyBorder="1" applyAlignment="1">
      <alignment horizontal="center"/>
    </xf>
    <xf numFmtId="3" fontId="29" fillId="0" borderId="9" xfId="9" applyNumberFormat="1" applyFont="1" applyBorder="1" applyAlignment="1">
      <alignment horizontal="right"/>
    </xf>
    <xf numFmtId="3" fontId="29" fillId="0" borderId="47" xfId="9" applyNumberFormat="1" applyFont="1" applyBorder="1" applyAlignment="1">
      <alignment horizontal="center"/>
    </xf>
    <xf numFmtId="0" fontId="29" fillId="0" borderId="9" xfId="9" applyFont="1" applyBorder="1" applyAlignment="1">
      <alignment horizontal="left" wrapText="1"/>
    </xf>
    <xf numFmtId="1" fontId="7" fillId="0" borderId="0" xfId="9" applyNumberFormat="1"/>
    <xf numFmtId="0" fontId="53" fillId="0" borderId="0" xfId="9" applyFont="1"/>
    <xf numFmtId="0" fontId="53" fillId="0" borderId="0" xfId="9" applyFont="1" applyAlignment="1">
      <alignment horizontal="center"/>
    </xf>
    <xf numFmtId="3" fontId="53" fillId="0" borderId="0" xfId="9" applyNumberFormat="1" applyFont="1"/>
    <xf numFmtId="1" fontId="53" fillId="0" borderId="0" xfId="9" applyNumberFormat="1" applyFont="1"/>
    <xf numFmtId="3" fontId="38" fillId="2" borderId="9" xfId="9" applyNumberFormat="1" applyFont="1" applyFill="1" applyBorder="1"/>
    <xf numFmtId="168" fontId="7" fillId="0" borderId="0" xfId="9" applyNumberFormat="1"/>
    <xf numFmtId="0" fontId="50" fillId="3" borderId="33" xfId="9" applyFont="1" applyFill="1" applyBorder="1"/>
    <xf numFmtId="0" fontId="7" fillId="0" borderId="0" xfId="9" applyBorder="1"/>
    <xf numFmtId="0" fontId="39" fillId="5" borderId="33" xfId="9" applyFont="1" applyFill="1" applyBorder="1"/>
    <xf numFmtId="49" fontId="18" fillId="5" borderId="36" xfId="9" applyNumberFormat="1" applyFont="1" applyFill="1" applyBorder="1"/>
    <xf numFmtId="49" fontId="18" fillId="5" borderId="46" xfId="9" applyNumberFormat="1" applyFont="1" applyFill="1" applyBorder="1"/>
    <xf numFmtId="0" fontId="18" fillId="5" borderId="9" xfId="9" applyFont="1" applyFill="1" applyBorder="1"/>
    <xf numFmtId="3" fontId="18" fillId="5" borderId="46" xfId="9" applyNumberFormat="1" applyFont="1" applyFill="1" applyBorder="1"/>
    <xf numFmtId="165" fontId="9" fillId="0" borderId="0" xfId="0" applyNumberFormat="1" applyFont="1" applyFill="1" applyAlignment="1" applyProtection="1">
      <alignment horizontal="left" vertical="center" wrapText="1"/>
    </xf>
    <xf numFmtId="165" fontId="9" fillId="0" borderId="0" xfId="0" applyNumberFormat="1" applyFont="1" applyFill="1" applyAlignment="1" applyProtection="1">
      <alignment vertical="center" wrapText="1"/>
    </xf>
    <xf numFmtId="165" fontId="9" fillId="0" borderId="0" xfId="0" applyNumberFormat="1" applyFont="1" applyFill="1" applyAlignment="1" applyProtection="1">
      <alignment vertical="center" wrapText="1"/>
      <protection locked="0"/>
    </xf>
    <xf numFmtId="165" fontId="9" fillId="0" borderId="0" xfId="0" applyNumberFormat="1" applyFont="1" applyFill="1" applyAlignment="1">
      <alignment vertical="center" wrapText="1"/>
    </xf>
    <xf numFmtId="49" fontId="12" fillId="0" borderId="45" xfId="0" applyNumberFormat="1" applyFont="1" applyFill="1" applyBorder="1" applyAlignment="1" applyProtection="1">
      <alignment horizontal="right" vertical="center"/>
      <protection locked="0"/>
    </xf>
    <xf numFmtId="0" fontId="12" fillId="2" borderId="43" xfId="0" applyFont="1" applyFill="1" applyBorder="1" applyAlignment="1" applyProtection="1">
      <alignment horizontal="center" vertical="center" wrapText="1"/>
    </xf>
    <xf numFmtId="0" fontId="12" fillId="2" borderId="44" xfId="0" applyFont="1" applyFill="1" applyBorder="1" applyAlignment="1" applyProtection="1">
      <alignment horizontal="center" vertical="center" wrapText="1"/>
    </xf>
    <xf numFmtId="165" fontId="12" fillId="2" borderId="41" xfId="0" applyNumberFormat="1" applyFont="1" applyFill="1" applyBorder="1" applyAlignment="1" applyProtection="1">
      <alignment horizontal="center" vertical="center" wrapText="1"/>
    </xf>
    <xf numFmtId="3" fontId="11" fillId="0" borderId="0" xfId="0" applyNumberFormat="1" applyFont="1" applyFill="1" applyAlignment="1">
      <alignment vertical="center" wrapText="1"/>
    </xf>
    <xf numFmtId="0" fontId="55" fillId="0" borderId="2" xfId="0" applyFont="1" applyFill="1" applyBorder="1" applyAlignment="1" applyProtection="1">
      <alignment horizontal="center" vertical="center" wrapText="1"/>
    </xf>
    <xf numFmtId="0" fontId="25" fillId="0" borderId="2" xfId="19" applyFont="1" applyFill="1" applyBorder="1" applyAlignment="1" applyProtection="1">
      <alignment horizontal="left" vertical="center" wrapText="1" indent="1"/>
    </xf>
    <xf numFmtId="3" fontId="10" fillId="0" borderId="7" xfId="0" applyNumberFormat="1" applyFont="1" applyFill="1" applyBorder="1" applyAlignment="1" applyProtection="1">
      <alignment vertical="center" wrapText="1"/>
      <protection locked="0"/>
    </xf>
    <xf numFmtId="49" fontId="25" fillId="0" borderId="2" xfId="19" applyNumberFormat="1" applyFont="1" applyFill="1" applyBorder="1" applyAlignment="1" applyProtection="1">
      <alignment horizontal="left" vertical="center" wrapText="1" indent="1"/>
    </xf>
    <xf numFmtId="3" fontId="11" fillId="0" borderId="45" xfId="0" applyNumberFormat="1" applyFont="1" applyFill="1" applyBorder="1" applyAlignment="1" applyProtection="1">
      <alignment vertical="center" wrapText="1"/>
    </xf>
    <xf numFmtId="0" fontId="56" fillId="2" borderId="40" xfId="0" applyFont="1" applyFill="1" applyBorder="1" applyAlignment="1" applyProtection="1">
      <alignment horizontal="center" wrapText="1"/>
    </xf>
    <xf numFmtId="0" fontId="38" fillId="2" borderId="2" xfId="9" applyFont="1" applyFill="1" applyBorder="1"/>
    <xf numFmtId="0" fontId="10" fillId="0" borderId="0" xfId="0" applyFont="1" applyFill="1" applyBorder="1" applyAlignment="1" applyProtection="1">
      <alignment horizontal="center" vertical="center" wrapText="1"/>
    </xf>
    <xf numFmtId="165" fontId="10" fillId="0" borderId="41" xfId="0" applyNumberFormat="1" applyFont="1" applyFill="1" applyBorder="1" applyAlignment="1" applyProtection="1">
      <alignment vertical="center" wrapText="1"/>
    </xf>
    <xf numFmtId="0" fontId="25" fillId="0" borderId="5" xfId="19" applyFont="1" applyFill="1" applyBorder="1" applyAlignment="1" applyProtection="1">
      <alignment horizontal="left" vertical="center" wrapText="1" indent="1"/>
    </xf>
    <xf numFmtId="0" fontId="29" fillId="0" borderId="15" xfId="9" applyFont="1" applyBorder="1"/>
    <xf numFmtId="165" fontId="12" fillId="2" borderId="7" xfId="0" applyNumberFormat="1" applyFont="1" applyFill="1" applyBorder="1" applyAlignment="1" applyProtection="1">
      <alignment vertical="center" wrapText="1"/>
    </xf>
    <xf numFmtId="4" fontId="11" fillId="0" borderId="7" xfId="0" applyNumberFormat="1" applyFont="1" applyFill="1" applyBorder="1" applyAlignment="1" applyProtection="1">
      <alignment vertical="center" wrapText="1"/>
      <protection locked="0"/>
    </xf>
    <xf numFmtId="165" fontId="36" fillId="0" borderId="0" xfId="0" applyNumberFormat="1" applyFont="1" applyFill="1" applyAlignment="1" applyProtection="1">
      <alignment vertical="center" wrapText="1"/>
      <protection locked="0"/>
    </xf>
    <xf numFmtId="49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2" fillId="2" borderId="37" xfId="0" applyFont="1" applyFill="1" applyBorder="1" applyAlignment="1" applyProtection="1">
      <alignment horizontal="center" vertical="center" wrapText="1"/>
    </xf>
    <xf numFmtId="0" fontId="12" fillId="2" borderId="38" xfId="0" applyFont="1" applyFill="1" applyBorder="1" applyAlignment="1" applyProtection="1">
      <alignment horizontal="center" vertical="center" wrapText="1"/>
    </xf>
    <xf numFmtId="165" fontId="12" fillId="2" borderId="39" xfId="0" applyNumberFormat="1" applyFont="1" applyFill="1" applyBorder="1" applyAlignment="1" applyProtection="1">
      <alignment horizontal="center" vertical="center" wrapText="1"/>
    </xf>
    <xf numFmtId="3" fontId="11" fillId="0" borderId="13" xfId="0" applyNumberFormat="1" applyFont="1" applyFill="1" applyBorder="1" applyAlignment="1" applyProtection="1">
      <alignment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 indent="1"/>
    </xf>
    <xf numFmtId="0" fontId="11" fillId="0" borderId="0" xfId="0" applyFont="1" applyFill="1" applyBorder="1" applyAlignment="1" applyProtection="1">
      <alignment horizontal="left" vertical="center" wrapText="1" indent="1"/>
    </xf>
    <xf numFmtId="3" fontId="11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7" xfId="0" applyNumberFormat="1" applyFont="1" applyFill="1" applyBorder="1" applyAlignment="1" applyProtection="1">
      <alignment vertical="center" wrapText="1"/>
    </xf>
    <xf numFmtId="3" fontId="9" fillId="0" borderId="13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 locked="0"/>
    </xf>
    <xf numFmtId="3" fontId="9" fillId="0" borderId="25" xfId="0" applyNumberFormat="1" applyFont="1" applyFill="1" applyBorder="1" applyAlignment="1" applyProtection="1">
      <alignment vertical="center" wrapText="1"/>
      <protection locked="0"/>
    </xf>
    <xf numFmtId="3" fontId="9" fillId="0" borderId="26" xfId="0" applyNumberFormat="1" applyFont="1" applyFill="1" applyBorder="1" applyAlignment="1" applyProtection="1">
      <alignment vertical="center" wrapText="1"/>
      <protection locked="0"/>
    </xf>
    <xf numFmtId="3" fontId="12" fillId="0" borderId="7" xfId="0" applyNumberFormat="1" applyFont="1" applyFill="1" applyBorder="1" applyAlignment="1" applyProtection="1">
      <alignment vertical="center" wrapText="1"/>
      <protection locked="0"/>
    </xf>
    <xf numFmtId="3" fontId="12" fillId="0" borderId="41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 indent="1"/>
    </xf>
    <xf numFmtId="3" fontId="12" fillId="0" borderId="0" xfId="0" applyNumberFormat="1" applyFont="1" applyFill="1" applyBorder="1" applyAlignment="1" applyProtection="1">
      <alignment vertical="center" wrapText="1"/>
    </xf>
    <xf numFmtId="0" fontId="12" fillId="0" borderId="2" xfId="19" applyFont="1" applyFill="1" applyBorder="1" applyAlignment="1" applyProtection="1">
      <alignment horizontal="left" vertical="center" wrapText="1" indent="1"/>
    </xf>
    <xf numFmtId="0" fontId="12" fillId="0" borderId="2" xfId="19" applyFont="1" applyFill="1" applyBorder="1" applyAlignment="1" applyProtection="1">
      <alignment vertical="center" wrapText="1"/>
    </xf>
    <xf numFmtId="0" fontId="12" fillId="0" borderId="19" xfId="0" applyFont="1" applyFill="1" applyBorder="1" applyAlignment="1" applyProtection="1">
      <alignment horizontal="center" vertical="center" wrapText="1"/>
    </xf>
    <xf numFmtId="49" fontId="9" fillId="0" borderId="20" xfId="19" applyNumberFormat="1" applyFont="1" applyFill="1" applyBorder="1" applyAlignment="1" applyProtection="1">
      <alignment horizontal="left" vertical="center" wrapText="1" indent="1"/>
    </xf>
    <xf numFmtId="0" fontId="9" fillId="0" borderId="20" xfId="19" applyFont="1" applyFill="1" applyBorder="1" applyAlignment="1" applyProtection="1">
      <alignment horizontal="left" vertical="center" wrapText="1" indent="1"/>
    </xf>
    <xf numFmtId="3" fontId="9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</xf>
    <xf numFmtId="49" fontId="9" fillId="0" borderId="9" xfId="19" applyNumberFormat="1" applyFont="1" applyFill="1" applyBorder="1" applyAlignment="1" applyProtection="1">
      <alignment horizontal="left" vertical="center" wrapText="1" indent="1"/>
    </xf>
    <xf numFmtId="0" fontId="9" fillId="0" borderId="9" xfId="19" applyFont="1" applyFill="1" applyBorder="1" applyAlignment="1" applyProtection="1">
      <alignment horizontal="left" vertical="center" wrapText="1" indent="1"/>
    </xf>
    <xf numFmtId="0" fontId="9" fillId="0" borderId="0" xfId="0" applyFont="1" applyFill="1" applyAlignment="1" applyProtection="1">
      <alignment horizontal="left" vertical="center" wrapText="1"/>
    </xf>
    <xf numFmtId="0" fontId="9" fillId="0" borderId="0" xfId="0" applyFont="1" applyFill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left" vertical="center"/>
    </xf>
    <xf numFmtId="0" fontId="9" fillId="0" borderId="44" xfId="0" applyFont="1" applyFill="1" applyBorder="1" applyAlignment="1" applyProtection="1">
      <alignment vertical="center" wrapText="1"/>
    </xf>
    <xf numFmtId="0" fontId="12" fillId="0" borderId="40" xfId="0" applyFont="1" applyFill="1" applyBorder="1" applyAlignment="1" applyProtection="1">
      <alignment vertical="center" wrapText="1"/>
    </xf>
    <xf numFmtId="3" fontId="12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0" xfId="0" applyNumberFormat="1" applyFont="1" applyFill="1" applyAlignment="1" applyProtection="1">
      <alignment horizontal="left" vertical="center" wrapText="1"/>
    </xf>
    <xf numFmtId="165" fontId="10" fillId="0" borderId="0" xfId="0" applyNumberFormat="1" applyFont="1" applyFill="1" applyAlignment="1" applyProtection="1">
      <alignment vertical="center" wrapText="1"/>
    </xf>
    <xf numFmtId="165" fontId="10" fillId="0" borderId="0" xfId="0" applyNumberFormat="1" applyFont="1" applyFill="1" applyAlignment="1" applyProtection="1">
      <alignment vertical="center" wrapText="1"/>
      <protection locked="0"/>
    </xf>
    <xf numFmtId="49" fontId="11" fillId="0" borderId="13" xfId="0" applyNumberFormat="1" applyFont="1" applyFill="1" applyBorder="1" applyAlignment="1" applyProtection="1">
      <alignment horizontal="right" vertical="center"/>
      <protection locked="0"/>
    </xf>
    <xf numFmtId="49" fontId="11" fillId="0" borderId="45" xfId="0" applyNumberFormat="1" applyFont="1" applyFill="1" applyBorder="1" applyAlignment="1" applyProtection="1">
      <alignment horizontal="right" vertical="center"/>
      <protection locked="0"/>
    </xf>
    <xf numFmtId="0" fontId="12" fillId="2" borderId="2" xfId="0" applyFont="1" applyFill="1" applyBorder="1" applyAlignment="1" applyProtection="1">
      <alignment horizontal="center" vertical="center" wrapText="1"/>
    </xf>
    <xf numFmtId="3" fontId="11" fillId="0" borderId="0" xfId="0" applyNumberFormat="1" applyFont="1" applyFill="1" applyBorder="1" applyAlignment="1" applyProtection="1">
      <alignment vertical="center" wrapText="1"/>
    </xf>
    <xf numFmtId="0" fontId="9" fillId="0" borderId="0" xfId="0" applyFont="1" applyFill="1" applyAlignment="1">
      <alignment vertical="center" wrapText="1"/>
    </xf>
    <xf numFmtId="3" fontId="10" fillId="0" borderId="0" xfId="0" applyNumberFormat="1" applyFont="1" applyFill="1" applyAlignment="1" applyProtection="1">
      <alignment vertical="center" wrapText="1"/>
    </xf>
    <xf numFmtId="0" fontId="10" fillId="0" borderId="0" xfId="0" applyFont="1" applyFill="1" applyAlignment="1">
      <alignment horizontal="left" vertical="center" wrapText="1"/>
    </xf>
    <xf numFmtId="3" fontId="25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3" fontId="13" fillId="0" borderId="0" xfId="0" applyNumberFormat="1" applyFont="1" applyFill="1" applyAlignment="1" applyProtection="1">
      <alignment vertical="center" wrapText="1"/>
    </xf>
    <xf numFmtId="0" fontId="0" fillId="0" borderId="44" xfId="0" applyFont="1" applyFill="1" applyBorder="1" applyAlignment="1" applyProtection="1">
      <alignment vertical="center" wrapText="1"/>
    </xf>
    <xf numFmtId="0" fontId="24" fillId="0" borderId="40" xfId="0" applyFont="1" applyFill="1" applyBorder="1" applyAlignment="1" applyProtection="1">
      <alignment vertical="center" wrapText="1"/>
    </xf>
    <xf numFmtId="4" fontId="24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19" applyFont="1" applyFill="1" applyBorder="1" applyAlignment="1" applyProtection="1">
      <alignment horizontal="left" vertical="center" wrapText="1" indent="3"/>
    </xf>
    <xf numFmtId="3" fontId="11" fillId="0" borderId="42" xfId="0" applyNumberFormat="1" applyFont="1" applyFill="1" applyBorder="1" applyAlignment="1" applyProtection="1">
      <alignment vertical="center" wrapText="1"/>
      <protection locked="0"/>
    </xf>
    <xf numFmtId="3" fontId="11" fillId="0" borderId="18" xfId="0" applyNumberFormat="1" applyFont="1" applyFill="1" applyBorder="1" applyAlignment="1" applyProtection="1">
      <alignment vertical="center" wrapText="1"/>
      <protection locked="0"/>
    </xf>
    <xf numFmtId="165" fontId="15" fillId="0" borderId="2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3" fontId="15" fillId="0" borderId="0" xfId="0" applyNumberFormat="1" applyFont="1" applyFill="1" applyAlignment="1">
      <alignment vertical="center" wrapText="1"/>
    </xf>
    <xf numFmtId="3" fontId="15" fillId="0" borderId="21" xfId="0" applyNumberFormat="1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57" fillId="0" borderId="24" xfId="0" applyFont="1" applyFill="1" applyBorder="1" applyAlignment="1" applyProtection="1">
      <alignment horizontal="center" vertical="center"/>
      <protection locked="0"/>
    </xf>
    <xf numFmtId="49" fontId="45" fillId="0" borderId="0" xfId="9" applyNumberFormat="1" applyFont="1"/>
    <xf numFmtId="3" fontId="29" fillId="0" borderId="9" xfId="9" applyNumberFormat="1" applyFont="1" applyBorder="1" applyAlignment="1">
      <alignment horizontal="center" vertical="center" wrapText="1"/>
    </xf>
    <xf numFmtId="0" fontId="18" fillId="0" borderId="53" xfId="9" applyFont="1" applyBorder="1"/>
    <xf numFmtId="0" fontId="18" fillId="0" borderId="54" xfId="9" applyFont="1" applyBorder="1"/>
    <xf numFmtId="49" fontId="29" fillId="0" borderId="54" xfId="9" applyNumberFormat="1" applyFont="1" applyBorder="1"/>
    <xf numFmtId="0" fontId="18" fillId="0" borderId="55" xfId="9" applyFont="1" applyBorder="1" applyAlignment="1">
      <alignment horizontal="center"/>
    </xf>
    <xf numFmtId="0" fontId="18" fillId="0" borderId="0" xfId="9" applyFont="1" applyBorder="1" applyAlignment="1">
      <alignment horizontal="center"/>
    </xf>
    <xf numFmtId="0" fontId="18" fillId="0" borderId="33" xfId="9" applyFont="1" applyBorder="1"/>
    <xf numFmtId="0" fontId="18" fillId="0" borderId="36" xfId="9" applyFont="1" applyBorder="1"/>
    <xf numFmtId="0" fontId="29" fillId="0" borderId="56" xfId="9" applyFont="1" applyBorder="1" applyAlignment="1">
      <alignment horizontal="left"/>
    </xf>
    <xf numFmtId="0" fontId="29" fillId="0" borderId="57" xfId="9" applyFont="1" applyBorder="1" applyAlignment="1">
      <alignment horizontal="left"/>
    </xf>
    <xf numFmtId="0" fontId="29" fillId="0" borderId="33" xfId="9" applyFont="1" applyBorder="1" applyAlignment="1">
      <alignment horizontal="center"/>
    </xf>
    <xf numFmtId="0" fontId="29" fillId="0" borderId="46" xfId="9" applyFont="1" applyBorder="1" applyAlignment="1">
      <alignment horizontal="center"/>
    </xf>
    <xf numFmtId="0" fontId="40" fillId="0" borderId="36" xfId="9" applyFont="1" applyBorder="1"/>
    <xf numFmtId="0" fontId="58" fillId="0" borderId="33" xfId="9" applyFont="1" applyBorder="1"/>
    <xf numFmtId="0" fontId="58" fillId="0" borderId="36" xfId="9" applyFont="1" applyBorder="1"/>
    <xf numFmtId="0" fontId="44" fillId="0" borderId="9" xfId="9" applyFont="1" applyBorder="1" applyAlignment="1">
      <alignment horizontal="left" indent="4"/>
    </xf>
    <xf numFmtId="0" fontId="44" fillId="0" borderId="9" xfId="9" applyFont="1" applyBorder="1" applyAlignment="1">
      <alignment horizontal="left" indent="6"/>
    </xf>
    <xf numFmtId="0" fontId="29" fillId="2" borderId="9" xfId="9" applyFont="1" applyFill="1" applyBorder="1" applyAlignment="1">
      <alignment horizontal="left"/>
    </xf>
    <xf numFmtId="3" fontId="29" fillId="2" borderId="9" xfId="9" applyNumberFormat="1" applyFont="1" applyFill="1" applyBorder="1"/>
    <xf numFmtId="0" fontId="29" fillId="2" borderId="9" xfId="9" applyFont="1" applyFill="1" applyBorder="1"/>
    <xf numFmtId="0" fontId="29" fillId="0" borderId="9" xfId="9" applyFont="1" applyBorder="1" applyAlignment="1">
      <alignment horizontal="center"/>
    </xf>
    <xf numFmtId="49" fontId="29" fillId="0" borderId="0" xfId="9" applyNumberFormat="1" applyFont="1" applyBorder="1" applyAlignment="1">
      <alignment horizontal="left"/>
    </xf>
    <xf numFmtId="0" fontId="29" fillId="0" borderId="56" xfId="9" applyFont="1" applyBorder="1" applyAlignment="1">
      <alignment horizontal="center"/>
    </xf>
    <xf numFmtId="0" fontId="7" fillId="0" borderId="57" xfId="9" applyBorder="1"/>
    <xf numFmtId="3" fontId="42" fillId="0" borderId="15" xfId="9" applyNumberFormat="1" applyFont="1" applyFill="1" applyBorder="1"/>
    <xf numFmtId="2" fontId="43" fillId="0" borderId="0" xfId="9" applyNumberFormat="1" applyFont="1"/>
    <xf numFmtId="0" fontId="7" fillId="0" borderId="46" xfId="9" applyBorder="1"/>
    <xf numFmtId="166" fontId="12" fillId="0" borderId="0" xfId="0" applyNumberFormat="1" applyFont="1" applyFill="1" applyAlignment="1" applyProtection="1">
      <alignment vertical="center"/>
    </xf>
    <xf numFmtId="3" fontId="29" fillId="0" borderId="27" xfId="9" applyNumberFormat="1" applyFont="1" applyBorder="1" applyAlignment="1">
      <alignment horizontal="center" vertical="center" wrapText="1"/>
    </xf>
    <xf numFmtId="49" fontId="29" fillId="0" borderId="53" xfId="9" applyNumberFormat="1" applyFont="1" applyBorder="1"/>
    <xf numFmtId="0" fontId="18" fillId="0" borderId="56" xfId="9" applyFont="1" applyBorder="1"/>
    <xf numFmtId="0" fontId="18" fillId="0" borderId="0" xfId="9" applyFont="1" applyBorder="1"/>
    <xf numFmtId="49" fontId="29" fillId="0" borderId="0" xfId="9" applyNumberFormat="1" applyFont="1" applyBorder="1"/>
    <xf numFmtId="0" fontId="29" fillId="0" borderId="0" xfId="9" applyFont="1" applyBorder="1" applyAlignment="1">
      <alignment horizontal="left"/>
    </xf>
    <xf numFmtId="0" fontId="29" fillId="0" borderId="33" xfId="9" applyFont="1" applyBorder="1" applyAlignment="1">
      <alignment horizontal="left"/>
    </xf>
    <xf numFmtId="0" fontId="29" fillId="0" borderId="36" xfId="9" applyFont="1" applyBorder="1" applyAlignment="1">
      <alignment horizontal="left"/>
    </xf>
    <xf numFmtId="0" fontId="29" fillId="0" borderId="36" xfId="9" applyFont="1" applyBorder="1" applyAlignment="1">
      <alignment horizontal="center"/>
    </xf>
    <xf numFmtId="0" fontId="29" fillId="0" borderId="9" xfId="9" applyFont="1" applyBorder="1" applyAlignment="1">
      <alignment horizontal="left"/>
    </xf>
    <xf numFmtId="0" fontId="7" fillId="0" borderId="9" xfId="9" applyBorder="1"/>
    <xf numFmtId="0" fontId="29" fillId="0" borderId="48" xfId="9" applyFont="1" applyBorder="1" applyAlignment="1">
      <alignment horizontal="left"/>
    </xf>
    <xf numFmtId="0" fontId="40" fillId="0" borderId="51" xfId="9" applyFont="1" applyBorder="1"/>
    <xf numFmtId="3" fontId="29" fillId="0" borderId="46" xfId="9" applyNumberFormat="1" applyFont="1" applyBorder="1" applyAlignment="1">
      <alignment horizontal="center"/>
    </xf>
    <xf numFmtId="2" fontId="7" fillId="0" borderId="0" xfId="9" applyNumberFormat="1"/>
    <xf numFmtId="0" fontId="59" fillId="0" borderId="56" xfId="9" applyFont="1" applyBorder="1"/>
    <xf numFmtId="0" fontId="59" fillId="0" borderId="58" xfId="9" applyFont="1" applyBorder="1"/>
    <xf numFmtId="4" fontId="29" fillId="0" borderId="9" xfId="9" applyNumberFormat="1" applyFont="1" applyBorder="1" applyAlignment="1">
      <alignment horizontal="center"/>
    </xf>
    <xf numFmtId="0" fontId="59" fillId="0" borderId="33" xfId="9" applyFont="1" applyBorder="1"/>
    <xf numFmtId="3" fontId="44" fillId="0" borderId="36" xfId="9" applyNumberFormat="1" applyFont="1" applyBorder="1"/>
    <xf numFmtId="3" fontId="44" fillId="0" borderId="46" xfId="9" applyNumberFormat="1" applyFont="1" applyBorder="1"/>
    <xf numFmtId="3" fontId="42" fillId="0" borderId="47" xfId="9" applyNumberFormat="1" applyFont="1" applyBorder="1"/>
    <xf numFmtId="3" fontId="29" fillId="2" borderId="47" xfId="9" applyNumberFormat="1" applyFont="1" applyFill="1" applyBorder="1"/>
    <xf numFmtId="3" fontId="46" fillId="0" borderId="0" xfId="9" applyNumberFormat="1" applyFont="1"/>
    <xf numFmtId="3" fontId="46" fillId="0" borderId="0" xfId="9" applyNumberFormat="1" applyFont="1" applyAlignment="1">
      <alignment horizontal="center"/>
    </xf>
    <xf numFmtId="3" fontId="46" fillId="0" borderId="0" xfId="9" applyNumberFormat="1" applyFont="1" applyFill="1" applyBorder="1" applyAlignment="1">
      <alignment horizontal="center"/>
    </xf>
    <xf numFmtId="3" fontId="46" fillId="0" borderId="0" xfId="9" applyNumberFormat="1" applyFont="1" applyFill="1" applyBorder="1"/>
    <xf numFmtId="3" fontId="46" fillId="0" borderId="9" xfId="9" applyNumberFormat="1" applyFont="1" applyBorder="1"/>
    <xf numFmtId="0" fontId="7" fillId="0" borderId="0" xfId="9" applyFont="1" applyFill="1" applyBorder="1"/>
    <xf numFmtId="3" fontId="46" fillId="6" borderId="9" xfId="9" applyNumberFormat="1" applyFont="1" applyFill="1" applyBorder="1"/>
    <xf numFmtId="3" fontId="29" fillId="2" borderId="9" xfId="9" applyNumberFormat="1" applyFont="1" applyFill="1" applyBorder="1" applyAlignment="1">
      <alignment horizontal="right"/>
    </xf>
    <xf numFmtId="3" fontId="60" fillId="0" borderId="9" xfId="9" applyNumberFormat="1" applyFont="1" applyBorder="1"/>
    <xf numFmtId="0" fontId="29" fillId="0" borderId="20" xfId="9" applyFont="1" applyFill="1" applyBorder="1"/>
    <xf numFmtId="0" fontId="40" fillId="2" borderId="33" xfId="9" applyFont="1" applyFill="1" applyBorder="1"/>
    <xf numFmtId="0" fontId="18" fillId="2" borderId="36" xfId="9" applyFont="1" applyFill="1" applyBorder="1"/>
    <xf numFmtId="49" fontId="29" fillId="2" borderId="36" xfId="9" applyNumberFormat="1" applyFont="1" applyFill="1" applyBorder="1"/>
    <xf numFmtId="0" fontId="29" fillId="2" borderId="9" xfId="9" applyFont="1" applyFill="1" applyBorder="1" applyAlignment="1">
      <alignment horizontal="center" wrapText="1"/>
    </xf>
    <xf numFmtId="3" fontId="29" fillId="2" borderId="9" xfId="9" applyNumberFormat="1" applyFont="1" applyFill="1" applyBorder="1" applyAlignment="1">
      <alignment horizontal="center"/>
    </xf>
    <xf numFmtId="0" fontId="40" fillId="0" borderId="0" xfId="9" applyFont="1" applyBorder="1"/>
    <xf numFmtId="0" fontId="29" fillId="0" borderId="0" xfId="9" applyFont="1" applyBorder="1" applyAlignment="1">
      <alignment horizontal="center"/>
    </xf>
    <xf numFmtId="3" fontId="29" fillId="0" borderId="0" xfId="9" applyNumberFormat="1" applyFont="1" applyBorder="1" applyAlignment="1">
      <alignment horizontal="center"/>
    </xf>
    <xf numFmtId="0" fontId="59" fillId="0" borderId="0" xfId="9" applyFont="1" applyBorder="1"/>
    <xf numFmtId="165" fontId="0" fillId="0" borderId="0" xfId="0" applyNumberFormat="1" applyFill="1" applyAlignment="1" applyProtection="1">
      <alignment vertical="center" wrapText="1"/>
    </xf>
    <xf numFmtId="165" fontId="0" fillId="0" borderId="0" xfId="0" applyNumberFormat="1" applyFill="1" applyAlignment="1" applyProtection="1">
      <alignment horizontal="center" vertical="center" wrapText="1"/>
    </xf>
    <xf numFmtId="165" fontId="61" fillId="0" borderId="0" xfId="0" applyNumberFormat="1" applyFont="1" applyFill="1" applyAlignment="1" applyProtection="1">
      <alignment horizontal="right" wrapText="1"/>
    </xf>
    <xf numFmtId="165" fontId="12" fillId="0" borderId="12" xfId="0" applyNumberFormat="1" applyFont="1" applyFill="1" applyBorder="1" applyAlignment="1" applyProtection="1">
      <alignment horizontal="center" vertical="center" wrapText="1"/>
    </xf>
    <xf numFmtId="165" fontId="0" fillId="0" borderId="8" xfId="0" applyNumberFormat="1" applyFill="1" applyBorder="1" applyAlignment="1" applyProtection="1">
      <alignment vertical="center" wrapText="1"/>
    </xf>
    <xf numFmtId="165" fontId="0" fillId="0" borderId="9" xfId="0" applyNumberFormat="1" applyFill="1" applyBorder="1" applyAlignment="1" applyProtection="1">
      <alignment vertical="center" wrapText="1"/>
    </xf>
    <xf numFmtId="165" fontId="25" fillId="0" borderId="9" xfId="0" applyNumberFormat="1" applyFont="1" applyFill="1" applyBorder="1" applyAlignment="1" applyProtection="1">
      <alignment horizontal="center" vertical="center" wrapText="1"/>
    </xf>
    <xf numFmtId="165" fontId="25" fillId="0" borderId="10" xfId="0" applyNumberFormat="1" applyFont="1" applyFill="1" applyBorder="1" applyAlignment="1" applyProtection="1">
      <alignment horizontal="center" vertical="center" wrapText="1"/>
    </xf>
    <xf numFmtId="0" fontId="29" fillId="2" borderId="8" xfId="12" applyFont="1" applyFill="1" applyBorder="1" applyAlignment="1">
      <alignment horizontal="center" vertical="center"/>
    </xf>
    <xf numFmtId="165" fontId="0" fillId="2" borderId="9" xfId="0" applyNumberFormat="1" applyFill="1" applyBorder="1" applyAlignment="1" applyProtection="1">
      <alignment vertical="center" wrapText="1"/>
    </xf>
    <xf numFmtId="49" fontId="18" fillId="2" borderId="9" xfId="12" applyNumberFormat="1" applyFont="1" applyFill="1" applyBorder="1" applyAlignment="1">
      <alignment horizontal="left" vertical="center"/>
    </xf>
    <xf numFmtId="165" fontId="25" fillId="2" borderId="10" xfId="0" applyNumberFormat="1" applyFont="1" applyFill="1" applyBorder="1" applyAlignment="1" applyProtection="1">
      <alignment horizontal="center" vertical="center" wrapText="1"/>
    </xf>
    <xf numFmtId="3" fontId="18" fillId="2" borderId="9" xfId="12" applyNumberFormat="1" applyFont="1" applyFill="1" applyBorder="1" applyAlignment="1">
      <alignment horizontal="right" vertical="center"/>
    </xf>
    <xf numFmtId="0" fontId="54" fillId="0" borderId="9" xfId="10" applyFont="1" applyBorder="1" applyAlignment="1">
      <alignment horizontal="left" wrapText="1"/>
    </xf>
    <xf numFmtId="165" fontId="0" fillId="0" borderId="8" xfId="0" applyNumberFormat="1" applyFill="1" applyBorder="1" applyAlignment="1">
      <alignment vertical="center" wrapText="1"/>
    </xf>
    <xf numFmtId="49" fontId="44" fillId="0" borderId="9" xfId="9" applyNumberFormat="1" applyFont="1" applyBorder="1" applyAlignment="1">
      <alignment horizontal="left" vertical="center"/>
    </xf>
    <xf numFmtId="165" fontId="0" fillId="0" borderId="9" xfId="0" applyNumberFormat="1" applyFill="1" applyBorder="1" applyAlignment="1">
      <alignment vertical="center" wrapText="1"/>
    </xf>
    <xf numFmtId="3" fontId="54" fillId="0" borderId="9" xfId="10" applyNumberFormat="1" applyFont="1" applyBorder="1" applyAlignment="1">
      <alignment horizontal="right" wrapText="1"/>
    </xf>
    <xf numFmtId="165" fontId="61" fillId="0" borderId="8" xfId="0" applyNumberFormat="1" applyFont="1" applyFill="1" applyBorder="1" applyAlignment="1">
      <alignment vertical="center" wrapText="1"/>
    </xf>
    <xf numFmtId="165" fontId="61" fillId="0" borderId="9" xfId="0" applyNumberFormat="1" applyFont="1" applyFill="1" applyBorder="1" applyAlignment="1">
      <alignment vertical="center" wrapText="1"/>
    </xf>
    <xf numFmtId="165" fontId="61" fillId="0" borderId="0" xfId="0" applyNumberFormat="1" applyFont="1" applyFill="1" applyAlignment="1">
      <alignment vertical="center" wrapText="1"/>
    </xf>
    <xf numFmtId="165" fontId="24" fillId="0" borderId="0" xfId="0" applyNumberFormat="1" applyFont="1" applyFill="1" applyAlignment="1">
      <alignment vertical="center" wrapText="1"/>
    </xf>
    <xf numFmtId="165" fontId="0" fillId="0" borderId="59" xfId="0" applyNumberFormat="1" applyFill="1" applyBorder="1" applyAlignment="1" applyProtection="1">
      <alignment vertical="center" wrapText="1"/>
    </xf>
    <xf numFmtId="165" fontId="0" fillId="0" borderId="36" xfId="0" applyNumberFormat="1" applyFill="1" applyBorder="1" applyAlignment="1" applyProtection="1">
      <alignment vertical="center" wrapText="1"/>
    </xf>
    <xf numFmtId="165" fontId="24" fillId="0" borderId="9" xfId="0" applyNumberFormat="1" applyFont="1" applyFill="1" applyBorder="1" applyAlignment="1" applyProtection="1">
      <alignment horizontal="center" vertical="center" wrapText="1"/>
    </xf>
    <xf numFmtId="165" fontId="9" fillId="0" borderId="9" xfId="0" applyNumberFormat="1" applyFont="1" applyFill="1" applyBorder="1" applyAlignment="1" applyProtection="1">
      <alignment vertical="center" wrapText="1"/>
      <protection locked="0"/>
    </xf>
    <xf numFmtId="165" fontId="11" fillId="0" borderId="59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36" xfId="0" applyNumberFormat="1" applyFill="1" applyBorder="1" applyAlignment="1" applyProtection="1">
      <alignment vertical="center" wrapText="1"/>
      <protection locked="0"/>
    </xf>
    <xf numFmtId="165" fontId="0" fillId="0" borderId="0" xfId="0" applyNumberFormat="1" applyFill="1" applyAlignment="1" applyProtection="1">
      <alignment vertical="center" wrapText="1"/>
      <protection locked="0"/>
    </xf>
    <xf numFmtId="165" fontId="0" fillId="0" borderId="59" xfId="0" applyNumberFormat="1" applyFill="1" applyBorder="1" applyAlignment="1">
      <alignment vertical="center" wrapText="1"/>
    </xf>
    <xf numFmtId="49" fontId="44" fillId="0" borderId="36" xfId="9" applyNumberFormat="1" applyFont="1" applyBorder="1" applyAlignment="1">
      <alignment horizontal="left" vertical="center"/>
    </xf>
    <xf numFmtId="165" fontId="0" fillId="0" borderId="36" xfId="0" applyNumberFormat="1" applyFill="1" applyBorder="1" applyAlignment="1">
      <alignment vertical="center" wrapText="1"/>
    </xf>
    <xf numFmtId="1" fontId="9" fillId="0" borderId="9" xfId="0" applyNumberFormat="1" applyFont="1" applyFill="1" applyBorder="1" applyAlignment="1" applyProtection="1">
      <alignment vertical="center" wrapText="1"/>
      <protection locked="0"/>
    </xf>
    <xf numFmtId="0" fontId="54" fillId="0" borderId="9" xfId="10" applyFont="1" applyBorder="1" applyAlignment="1">
      <alignment wrapText="1"/>
    </xf>
    <xf numFmtId="0" fontId="54" fillId="0" borderId="9" xfId="10" applyFont="1" applyFill="1" applyBorder="1" applyAlignment="1">
      <alignment wrapText="1"/>
    </xf>
    <xf numFmtId="165" fontId="11" fillId="0" borderId="59" xfId="0" applyNumberFormat="1" applyFont="1" applyFill="1" applyBorder="1" applyAlignment="1">
      <alignment horizontal="right" vertical="center" wrapText="1"/>
    </xf>
    <xf numFmtId="49" fontId="18" fillId="2" borderId="9" xfId="12" applyNumberFormat="1" applyFont="1" applyFill="1" applyBorder="1" applyAlignment="1">
      <alignment horizontal="right" vertical="center"/>
    </xf>
    <xf numFmtId="49" fontId="18" fillId="2" borderId="33" xfId="12" applyNumberFormat="1" applyFont="1" applyFill="1" applyBorder="1" applyAlignment="1">
      <alignment horizontal="left" vertical="center"/>
    </xf>
    <xf numFmtId="49" fontId="18" fillId="2" borderId="36" xfId="12" applyNumberFormat="1" applyFont="1" applyFill="1" applyBorder="1" applyAlignment="1">
      <alignment horizontal="left" vertical="center"/>
    </xf>
    <xf numFmtId="49" fontId="18" fillId="2" borderId="46" xfId="12" applyNumberFormat="1" applyFont="1" applyFill="1" applyBorder="1" applyAlignment="1">
      <alignment horizontal="left" vertical="center"/>
    </xf>
    <xf numFmtId="49" fontId="18" fillId="2" borderId="9" xfId="12" applyNumberFormat="1" applyFont="1" applyFill="1" applyBorder="1" applyAlignment="1">
      <alignment horizontal="left" vertical="center" wrapText="1"/>
    </xf>
    <xf numFmtId="165" fontId="27" fillId="2" borderId="24" xfId="0" applyNumberFormat="1" applyFont="1" applyFill="1" applyBorder="1" applyAlignment="1" applyProtection="1">
      <alignment vertical="center" wrapText="1"/>
    </xf>
    <xf numFmtId="165" fontId="24" fillId="0" borderId="60" xfId="0" applyNumberFormat="1" applyFont="1" applyFill="1" applyBorder="1" applyAlignment="1">
      <alignment vertical="center" wrapText="1"/>
    </xf>
    <xf numFmtId="165" fontId="24" fillId="0" borderId="61" xfId="0" applyNumberFormat="1" applyFont="1" applyFill="1" applyBorder="1" applyAlignment="1">
      <alignment vertical="center" wrapText="1"/>
    </xf>
    <xf numFmtId="165" fontId="27" fillId="2" borderId="24" xfId="0" applyNumberFormat="1" applyFont="1" applyFill="1" applyBorder="1" applyAlignment="1" applyProtection="1">
      <alignment horizontal="left" vertical="center" wrapText="1"/>
    </xf>
    <xf numFmtId="0" fontId="29" fillId="0" borderId="59" xfId="9" applyFont="1" applyBorder="1" applyAlignment="1">
      <alignment horizontal="center" vertical="center"/>
    </xf>
    <xf numFmtId="0" fontId="29" fillId="0" borderId="36" xfId="9" applyFont="1" applyBorder="1" applyAlignment="1">
      <alignment horizontal="center" vertical="center"/>
    </xf>
    <xf numFmtId="0" fontId="29" fillId="0" borderId="46" xfId="9" applyFont="1" applyBorder="1" applyAlignment="1">
      <alignment horizontal="center" vertical="center"/>
    </xf>
    <xf numFmtId="0" fontId="29" fillId="0" borderId="9" xfId="9" applyFont="1" applyBorder="1" applyAlignment="1">
      <alignment horizontal="left" vertical="center" wrapText="1"/>
    </xf>
    <xf numFmtId="3" fontId="29" fillId="0" borderId="9" xfId="9" applyNumberFormat="1" applyFont="1" applyBorder="1" applyAlignment="1">
      <alignment horizontal="right" vertical="center" wrapText="1"/>
    </xf>
    <xf numFmtId="49" fontId="44" fillId="0" borderId="36" xfId="9" applyNumberFormat="1" applyFont="1" applyBorder="1" applyAlignment="1">
      <alignment horizontal="center" vertical="center"/>
    </xf>
    <xf numFmtId="49" fontId="29" fillId="0" borderId="46" xfId="9" applyNumberFormat="1" applyFont="1" applyBorder="1" applyAlignment="1">
      <alignment horizontal="center" vertical="center"/>
    </xf>
    <xf numFmtId="0" fontId="44" fillId="0" borderId="9" xfId="9" applyFont="1" applyBorder="1" applyAlignment="1">
      <alignment horizontal="left" vertical="center" wrapText="1"/>
    </xf>
    <xf numFmtId="3" fontId="44" fillId="0" borderId="9" xfId="9" applyNumberFormat="1" applyFont="1" applyBorder="1" applyAlignment="1">
      <alignment horizontal="right" vertical="center" wrapText="1"/>
    </xf>
    <xf numFmtId="0" fontId="30" fillId="0" borderId="59" xfId="9" applyFont="1" applyBorder="1" applyAlignment="1">
      <alignment horizontal="center" vertical="center"/>
    </xf>
    <xf numFmtId="49" fontId="42" fillId="0" borderId="36" xfId="9" applyNumberFormat="1" applyFont="1" applyBorder="1" applyAlignment="1">
      <alignment horizontal="center" vertical="center"/>
    </xf>
    <xf numFmtId="49" fontId="42" fillId="0" borderId="46" xfId="9" applyNumberFormat="1" applyFont="1" applyBorder="1" applyAlignment="1">
      <alignment horizontal="center" vertical="center"/>
    </xf>
    <xf numFmtId="0" fontId="42" fillId="0" borderId="9" xfId="9" applyFont="1" applyBorder="1" applyAlignment="1">
      <alignment horizontal="left" vertical="center" wrapText="1"/>
    </xf>
    <xf numFmtId="3" fontId="47" fillId="0" borderId="9" xfId="9" applyNumberFormat="1" applyFont="1" applyBorder="1" applyAlignment="1">
      <alignment horizontal="right" vertical="center" wrapText="1"/>
    </xf>
    <xf numFmtId="3" fontId="47" fillId="0" borderId="46" xfId="9" applyNumberFormat="1" applyFont="1" applyBorder="1" applyAlignment="1">
      <alignment horizontal="right" vertical="center" wrapText="1"/>
    </xf>
    <xf numFmtId="0" fontId="60" fillId="0" borderId="59" xfId="9" applyFont="1" applyBorder="1" applyAlignment="1">
      <alignment horizontal="center" vertical="center"/>
    </xf>
    <xf numFmtId="49" fontId="46" fillId="0" borderId="36" xfId="9" applyNumberFormat="1" applyFont="1" applyBorder="1" applyAlignment="1">
      <alignment horizontal="center" vertical="center"/>
    </xf>
    <xf numFmtId="49" fontId="46" fillId="0" borderId="46" xfId="9" applyNumberFormat="1" applyFont="1" applyBorder="1" applyAlignment="1">
      <alignment horizontal="center" vertical="center"/>
    </xf>
    <xf numFmtId="0" fontId="46" fillId="0" borderId="9" xfId="9" applyFont="1" applyBorder="1" applyAlignment="1">
      <alignment horizontal="left" vertical="center" wrapText="1" indent="4"/>
    </xf>
    <xf numFmtId="0" fontId="47" fillId="0" borderId="9" xfId="9" applyFont="1" applyBorder="1" applyAlignment="1">
      <alignment horizontal="left" wrapText="1" indent="5"/>
    </xf>
    <xf numFmtId="49" fontId="47" fillId="0" borderId="46" xfId="9" applyNumberFormat="1" applyFont="1" applyBorder="1" applyAlignment="1">
      <alignment horizontal="center" vertical="center"/>
    </xf>
    <xf numFmtId="49" fontId="47" fillId="0" borderId="9" xfId="9" applyNumberFormat="1" applyFont="1" applyBorder="1" applyAlignment="1">
      <alignment horizontal="left" wrapText="1" indent="5"/>
    </xf>
    <xf numFmtId="49" fontId="44" fillId="0" borderId="46" xfId="9" applyNumberFormat="1" applyFont="1" applyBorder="1" applyAlignment="1">
      <alignment horizontal="center" vertical="center"/>
    </xf>
    <xf numFmtId="0" fontId="42" fillId="0" borderId="9" xfId="9" applyFont="1" applyBorder="1" applyAlignment="1">
      <alignment horizontal="left" wrapText="1" indent="5"/>
    </xf>
    <xf numFmtId="49" fontId="29" fillId="0" borderId="36" xfId="9" applyNumberFormat="1" applyFont="1" applyBorder="1" applyAlignment="1">
      <alignment horizontal="center" vertical="center"/>
    </xf>
    <xf numFmtId="0" fontId="11" fillId="0" borderId="9" xfId="9" applyFont="1" applyFill="1" applyBorder="1" applyAlignment="1">
      <alignment horizontal="left" vertical="center" wrapText="1"/>
    </xf>
    <xf numFmtId="3" fontId="11" fillId="0" borderId="9" xfId="9" applyNumberFormat="1" applyFont="1" applyFill="1" applyBorder="1" applyAlignment="1">
      <alignment horizontal="right" vertical="center"/>
    </xf>
    <xf numFmtId="0" fontId="10" fillId="0" borderId="9" xfId="9" applyFont="1" applyFill="1" applyBorder="1" applyAlignment="1">
      <alignment vertical="center" wrapText="1"/>
    </xf>
    <xf numFmtId="3" fontId="44" fillId="0" borderId="46" xfId="9" applyNumberFormat="1" applyFont="1" applyBorder="1" applyAlignment="1">
      <alignment horizontal="right" vertical="center" wrapText="1"/>
    </xf>
    <xf numFmtId="0" fontId="15" fillId="0" borderId="9" xfId="9" applyFont="1" applyFill="1" applyBorder="1" applyAlignment="1">
      <alignment horizontal="left" vertical="center" wrapText="1" indent="2"/>
    </xf>
    <xf numFmtId="0" fontId="10" fillId="0" borderId="9" xfId="9" applyFont="1" applyFill="1" applyBorder="1" applyAlignment="1">
      <alignment horizontal="left" vertical="center" wrapText="1"/>
    </xf>
    <xf numFmtId="0" fontId="43" fillId="0" borderId="59" xfId="9" applyFont="1" applyBorder="1"/>
    <xf numFmtId="49" fontId="42" fillId="0" borderId="46" xfId="9" applyNumberFormat="1" applyFont="1" applyBorder="1" applyAlignment="1">
      <alignment horizontal="left" vertical="center"/>
    </xf>
    <xf numFmtId="3" fontId="42" fillId="0" borderId="9" xfId="9" applyNumberFormat="1" applyFont="1" applyBorder="1" applyAlignment="1">
      <alignment horizontal="right" vertical="center" wrapText="1"/>
    </xf>
    <xf numFmtId="3" fontId="42" fillId="0" borderId="46" xfId="9" applyNumberFormat="1" applyFont="1" applyBorder="1" applyAlignment="1">
      <alignment horizontal="right" vertical="center" wrapText="1"/>
    </xf>
    <xf numFmtId="3" fontId="47" fillId="0" borderId="47" xfId="9" applyNumberFormat="1" applyFont="1" applyBorder="1" applyAlignment="1">
      <alignment horizontal="right" vertical="center" wrapText="1"/>
    </xf>
    <xf numFmtId="3" fontId="42" fillId="0" borderId="47" xfId="9" applyNumberFormat="1" applyFont="1" applyBorder="1" applyAlignment="1">
      <alignment horizontal="right" vertical="center" wrapText="1"/>
    </xf>
    <xf numFmtId="3" fontId="44" fillId="0" borderId="9" xfId="9" applyNumberFormat="1" applyFont="1" applyBorder="1" applyAlignment="1">
      <alignment horizontal="right" vertical="center"/>
    </xf>
    <xf numFmtId="3" fontId="44" fillId="0" borderId="46" xfId="9" applyNumberFormat="1" applyFont="1" applyBorder="1" applyAlignment="1">
      <alignment horizontal="right" vertical="center"/>
    </xf>
    <xf numFmtId="49" fontId="44" fillId="0" borderId="46" xfId="9" applyNumberFormat="1" applyFont="1" applyBorder="1" applyAlignment="1">
      <alignment vertical="center"/>
    </xf>
    <xf numFmtId="3" fontId="44" fillId="0" borderId="47" xfId="9" applyNumberFormat="1" applyFont="1" applyBorder="1" applyAlignment="1">
      <alignment horizontal="right" vertical="center"/>
    </xf>
    <xf numFmtId="49" fontId="42" fillId="0" borderId="36" xfId="9" applyNumberFormat="1" applyFont="1" applyBorder="1" applyAlignment="1">
      <alignment horizontal="left" vertical="center"/>
    </xf>
    <xf numFmtId="0" fontId="42" fillId="0" borderId="9" xfId="9" applyFont="1" applyBorder="1" applyAlignment="1">
      <alignment horizontal="left" vertical="center" wrapText="1" indent="2"/>
    </xf>
    <xf numFmtId="3" fontId="42" fillId="0" borderId="47" xfId="9" applyNumberFormat="1" applyFont="1" applyBorder="1" applyAlignment="1">
      <alignment horizontal="right" vertical="center"/>
    </xf>
    <xf numFmtId="3" fontId="42" fillId="0" borderId="9" xfId="9" applyNumberFormat="1" applyFont="1" applyBorder="1" applyAlignment="1">
      <alignment horizontal="right" vertical="center"/>
    </xf>
    <xf numFmtId="3" fontId="42" fillId="0" borderId="46" xfId="9" applyNumberFormat="1" applyFont="1" applyBorder="1" applyAlignment="1">
      <alignment horizontal="right" vertical="center"/>
    </xf>
    <xf numFmtId="49" fontId="44" fillId="0" borderId="36" xfId="9" applyNumberFormat="1" applyFont="1" applyBorder="1" applyAlignment="1">
      <alignment vertical="center"/>
    </xf>
    <xf numFmtId="49" fontId="44" fillId="0" borderId="59" xfId="9" applyNumberFormat="1" applyFont="1" applyBorder="1" applyAlignment="1">
      <alignment vertical="center"/>
    </xf>
    <xf numFmtId="49" fontId="42" fillId="0" borderId="36" xfId="9" applyNumberFormat="1" applyFont="1" applyBorder="1" applyAlignment="1">
      <alignment vertical="center"/>
    </xf>
    <xf numFmtId="49" fontId="42" fillId="0" borderId="46" xfId="9" applyNumberFormat="1" applyFont="1" applyBorder="1" applyAlignment="1">
      <alignment vertical="center"/>
    </xf>
    <xf numFmtId="0" fontId="29" fillId="3" borderId="59" xfId="9" applyFont="1" applyFill="1" applyBorder="1" applyAlignment="1">
      <alignment horizontal="center" vertical="center"/>
    </xf>
    <xf numFmtId="3" fontId="44" fillId="3" borderId="46" xfId="9" applyNumberFormat="1" applyFont="1" applyFill="1" applyBorder="1" applyAlignment="1">
      <alignment horizontal="right" vertical="center"/>
    </xf>
    <xf numFmtId="0" fontId="29" fillId="0" borderId="37" xfId="9" applyFont="1" applyBorder="1" applyAlignment="1">
      <alignment horizontal="center" vertical="center"/>
    </xf>
    <xf numFmtId="0" fontId="44" fillId="0" borderId="27" xfId="9" applyFont="1" applyBorder="1" applyAlignment="1">
      <alignment horizontal="left" vertical="center" wrapText="1"/>
    </xf>
    <xf numFmtId="3" fontId="44" fillId="0" borderId="27" xfId="9" applyNumberFormat="1" applyFont="1" applyBorder="1" applyAlignment="1">
      <alignment horizontal="right" vertical="center" wrapText="1"/>
    </xf>
    <xf numFmtId="3" fontId="44" fillId="0" borderId="51" xfId="9" applyNumberFormat="1" applyFont="1" applyBorder="1" applyAlignment="1">
      <alignment horizontal="right" vertical="center" wrapText="1"/>
    </xf>
    <xf numFmtId="0" fontId="29" fillId="3" borderId="37" xfId="9" applyFont="1" applyFill="1" applyBorder="1" applyAlignment="1">
      <alignment horizontal="center" vertical="center"/>
    </xf>
    <xf numFmtId="0" fontId="44" fillId="3" borderId="27" xfId="9" applyFont="1" applyFill="1" applyBorder="1" applyAlignment="1">
      <alignment horizontal="left" vertical="center" wrapText="1"/>
    </xf>
    <xf numFmtId="3" fontId="44" fillId="3" borderId="27" xfId="9" applyNumberFormat="1" applyFont="1" applyFill="1" applyBorder="1" applyAlignment="1">
      <alignment horizontal="right" vertical="center" wrapText="1"/>
    </xf>
    <xf numFmtId="3" fontId="44" fillId="3" borderId="51" xfId="9" applyNumberFormat="1" applyFont="1" applyFill="1" applyBorder="1" applyAlignment="1">
      <alignment horizontal="right" vertical="center" wrapText="1"/>
    </xf>
    <xf numFmtId="0" fontId="7" fillId="3" borderId="0" xfId="9" applyFill="1"/>
    <xf numFmtId="0" fontId="29" fillId="2" borderId="60" xfId="9" applyFont="1" applyFill="1" applyBorder="1" applyAlignment="1">
      <alignment horizontal="center" vertical="center"/>
    </xf>
    <xf numFmtId="49" fontId="29" fillId="2" borderId="61" xfId="9" applyNumberFormat="1" applyFont="1" applyFill="1" applyBorder="1" applyAlignment="1">
      <alignment horizontal="center" vertical="center"/>
    </xf>
    <xf numFmtId="49" fontId="29" fillId="2" borderId="62" xfId="9" applyNumberFormat="1" applyFont="1" applyFill="1" applyBorder="1" applyAlignment="1">
      <alignment horizontal="center" vertical="center"/>
    </xf>
    <xf numFmtId="0" fontId="38" fillId="2" borderId="24" xfId="9" applyFont="1" applyFill="1" applyBorder="1" applyAlignment="1">
      <alignment horizontal="left" vertical="center" wrapText="1"/>
    </xf>
    <xf numFmtId="3" fontId="29" fillId="2" borderId="24" xfId="9" applyNumberFormat="1" applyFont="1" applyFill="1" applyBorder="1" applyAlignment="1">
      <alignment horizontal="right" vertical="center" wrapText="1"/>
    </xf>
    <xf numFmtId="3" fontId="45" fillId="0" borderId="0" xfId="9" applyNumberFormat="1" applyFont="1" applyAlignment="1">
      <alignment horizontal="right"/>
    </xf>
    <xf numFmtId="0" fontId="38" fillId="0" borderId="63" xfId="9" applyFont="1" applyBorder="1" applyAlignment="1">
      <alignment horizontal="center" vertical="center" wrapText="1"/>
    </xf>
    <xf numFmtId="3" fontId="29" fillId="0" borderId="2" xfId="9" applyNumberFormat="1" applyFont="1" applyBorder="1" applyAlignment="1">
      <alignment horizontal="center" vertical="center" wrapText="1"/>
    </xf>
    <xf numFmtId="0" fontId="29" fillId="0" borderId="64" xfId="9" applyFont="1" applyBorder="1" applyAlignment="1">
      <alignment horizontal="center" vertical="center"/>
    </xf>
    <xf numFmtId="0" fontId="29" fillId="0" borderId="65" xfId="9" applyFont="1" applyBorder="1" applyAlignment="1">
      <alignment horizontal="center" vertical="center"/>
    </xf>
    <xf numFmtId="0" fontId="29" fillId="0" borderId="66" xfId="9" applyFont="1" applyBorder="1" applyAlignment="1">
      <alignment horizontal="center" vertical="center"/>
    </xf>
    <xf numFmtId="0" fontId="29" fillId="0" borderId="12" xfId="9" applyFont="1" applyBorder="1" applyAlignment="1">
      <alignment horizontal="left" vertical="center" wrapText="1"/>
    </xf>
    <xf numFmtId="3" fontId="29" fillId="0" borderId="12" xfId="9" applyNumberFormat="1" applyFont="1" applyBorder="1" applyAlignment="1">
      <alignment horizontal="right" vertical="center" wrapText="1"/>
    </xf>
    <xf numFmtId="0" fontId="29" fillId="0" borderId="67" xfId="9" applyFont="1" applyBorder="1" applyAlignment="1">
      <alignment horizontal="center" vertical="center"/>
    </xf>
    <xf numFmtId="0" fontId="7" fillId="0" borderId="47" xfId="9" applyBorder="1"/>
    <xf numFmtId="0" fontId="29" fillId="0" borderId="68" xfId="9" applyFont="1" applyBorder="1" applyAlignment="1">
      <alignment horizontal="center" vertical="center"/>
    </xf>
    <xf numFmtId="49" fontId="44" fillId="0" borderId="52" xfId="9" applyNumberFormat="1" applyFont="1" applyBorder="1" applyAlignment="1">
      <alignment horizontal="center" vertical="center"/>
    </xf>
    <xf numFmtId="0" fontId="29" fillId="2" borderId="69" xfId="9" applyFont="1" applyFill="1" applyBorder="1" applyAlignment="1">
      <alignment horizontal="center" vertical="center"/>
    </xf>
    <xf numFmtId="49" fontId="29" fillId="2" borderId="70" xfId="9" applyNumberFormat="1" applyFont="1" applyFill="1" applyBorder="1" applyAlignment="1">
      <alignment horizontal="center" vertical="center"/>
    </xf>
    <xf numFmtId="49" fontId="29" fillId="2" borderId="71" xfId="9" applyNumberFormat="1" applyFont="1" applyFill="1" applyBorder="1" applyAlignment="1">
      <alignment horizontal="center" vertical="center"/>
    </xf>
    <xf numFmtId="0" fontId="38" fillId="2" borderId="72" xfId="9" applyFont="1" applyFill="1" applyBorder="1" applyAlignment="1">
      <alignment horizontal="left" vertical="center" wrapText="1"/>
    </xf>
    <xf numFmtId="3" fontId="29" fillId="2" borderId="72" xfId="9" applyNumberFormat="1" applyFont="1" applyFill="1" applyBorder="1" applyAlignment="1">
      <alignment horizontal="right" vertical="center" wrapText="1"/>
    </xf>
    <xf numFmtId="165" fontId="15" fillId="0" borderId="0" xfId="0" applyNumberFormat="1" applyFont="1" applyFill="1" applyAlignment="1">
      <alignment vertical="center" wrapText="1"/>
    </xf>
    <xf numFmtId="165" fontId="23" fillId="0" borderId="0" xfId="0" applyNumberFormat="1" applyFont="1" applyFill="1" applyAlignment="1">
      <alignment vertical="center" wrapText="1"/>
    </xf>
    <xf numFmtId="3" fontId="9" fillId="0" borderId="0" xfId="0" applyNumberFormat="1" applyFont="1" applyFill="1" applyBorder="1" applyAlignment="1" applyProtection="1">
      <alignment vertical="center" wrapText="1"/>
    </xf>
    <xf numFmtId="3" fontId="12" fillId="0" borderId="0" xfId="19" applyNumberFormat="1" applyFont="1" applyFill="1"/>
    <xf numFmtId="3" fontId="10" fillId="0" borderId="13" xfId="19" applyNumberFormat="1" applyFont="1" applyFill="1" applyBorder="1"/>
    <xf numFmtId="3" fontId="9" fillId="0" borderId="0" xfId="19" applyNumberFormat="1" applyFill="1"/>
    <xf numFmtId="165" fontId="67" fillId="0" borderId="76" xfId="0" applyNumberFormat="1" applyFont="1" applyFill="1" applyBorder="1" applyAlignment="1" applyProtection="1">
      <alignment vertical="center" wrapText="1"/>
      <protection locked="0"/>
    </xf>
    <xf numFmtId="3" fontId="11" fillId="0" borderId="2" xfId="0" applyNumberFormat="1" applyFont="1" applyFill="1" applyBorder="1" applyAlignment="1" applyProtection="1">
      <alignment vertical="center" wrapText="1"/>
    </xf>
    <xf numFmtId="3" fontId="1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7" fillId="0" borderId="17" xfId="19" applyFont="1" applyFill="1" applyBorder="1" applyAlignment="1" applyProtection="1">
      <alignment horizontal="left" vertical="center" wrapText="1" indent="2"/>
    </xf>
    <xf numFmtId="3" fontId="67" fillId="0" borderId="28" xfId="19" applyNumberFormat="1" applyFont="1" applyFill="1" applyBorder="1" applyAlignment="1" applyProtection="1">
      <alignment horizontal="right" vertical="center" wrapText="1"/>
    </xf>
    <xf numFmtId="3" fontId="67" fillId="0" borderId="18" xfId="19" applyNumberFormat="1" applyFont="1" applyFill="1" applyBorder="1" applyAlignment="1" applyProtection="1">
      <alignment horizontal="right" vertical="center" wrapText="1"/>
    </xf>
    <xf numFmtId="3" fontId="11" fillId="0" borderId="3" xfId="19" applyNumberFormat="1" applyFont="1" applyFill="1" applyBorder="1" applyAlignment="1" applyProtection="1">
      <alignment vertical="center" wrapText="1"/>
    </xf>
    <xf numFmtId="2" fontId="0" fillId="0" borderId="0" xfId="0" applyNumberFormat="1" applyFill="1" applyAlignment="1">
      <alignment vertical="center" wrapText="1"/>
    </xf>
    <xf numFmtId="165" fontId="68" fillId="0" borderId="0" xfId="0" applyNumberFormat="1" applyFont="1" applyFill="1" applyAlignment="1" applyProtection="1">
      <alignment vertical="center" wrapText="1"/>
    </xf>
    <xf numFmtId="0" fontId="12" fillId="0" borderId="7" xfId="19" applyFont="1" applyFill="1" applyBorder="1" applyAlignment="1" applyProtection="1">
      <alignment horizontal="center" vertical="center" wrapText="1"/>
    </xf>
    <xf numFmtId="165" fontId="17" fillId="0" borderId="76" xfId="0" applyNumberFormat="1" applyFont="1" applyFill="1" applyBorder="1" applyAlignment="1" applyProtection="1">
      <alignment vertical="center" wrapText="1"/>
    </xf>
    <xf numFmtId="0" fontId="30" fillId="0" borderId="40" xfId="0" applyFont="1" applyBorder="1" applyAlignment="1" applyProtection="1">
      <alignment horizontal="left" vertical="center" wrapText="1" indent="1"/>
    </xf>
    <xf numFmtId="165" fontId="17" fillId="0" borderId="41" xfId="0" applyNumberFormat="1" applyFont="1" applyFill="1" applyBorder="1" applyAlignment="1" applyProtection="1">
      <alignment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1" xfId="0" applyFont="1" applyFill="1" applyBorder="1" applyAlignment="1" applyProtection="1">
      <alignment horizontal="center" vertical="center" wrapText="1"/>
    </xf>
    <xf numFmtId="165" fontId="28" fillId="0" borderId="52" xfId="0" applyNumberFormat="1" applyFont="1" applyFill="1" applyBorder="1" applyAlignment="1" applyProtection="1">
      <alignment horizontal="center" vertical="center" wrapText="1"/>
    </xf>
    <xf numFmtId="0" fontId="18" fillId="0" borderId="36" xfId="9" applyFont="1" applyFill="1" applyBorder="1" applyAlignment="1"/>
    <xf numFmtId="0" fontId="7" fillId="0" borderId="36" xfId="9" applyFill="1" applyBorder="1" applyAlignment="1"/>
    <xf numFmtId="3" fontId="18" fillId="0" borderId="36" xfId="9" applyNumberFormat="1" applyFont="1" applyFill="1" applyBorder="1"/>
    <xf numFmtId="0" fontId="40" fillId="0" borderId="48" xfId="9" applyFont="1" applyBorder="1"/>
    <xf numFmtId="49" fontId="18" fillId="0" borderId="49" xfId="9" applyNumberFormat="1" applyFont="1" applyBorder="1"/>
    <xf numFmtId="49" fontId="18" fillId="0" borderId="50" xfId="9" applyNumberFormat="1" applyFont="1" applyBorder="1"/>
    <xf numFmtId="0" fontId="18" fillId="0" borderId="20" xfId="9" applyFont="1" applyBorder="1"/>
    <xf numFmtId="3" fontId="18" fillId="0" borderId="20" xfId="9" applyNumberFormat="1" applyFont="1" applyBorder="1"/>
    <xf numFmtId="0" fontId="42" fillId="0" borderId="73" xfId="9" applyFont="1" applyBorder="1"/>
    <xf numFmtId="49" fontId="30" fillId="0" borderId="61" xfId="9" applyNumberFormat="1" applyFont="1" applyBorder="1"/>
    <xf numFmtId="49" fontId="47" fillId="0" borderId="62" xfId="9" applyNumberFormat="1" applyFont="1" applyBorder="1"/>
    <xf numFmtId="0" fontId="42" fillId="0" borderId="24" xfId="9" applyFont="1" applyBorder="1"/>
    <xf numFmtId="3" fontId="42" fillId="0" borderId="24" xfId="9" applyNumberFormat="1" applyFont="1" applyBorder="1"/>
    <xf numFmtId="14" fontId="12" fillId="0" borderId="44" xfId="0" applyNumberFormat="1" applyFont="1" applyFill="1" applyBorder="1" applyAlignment="1" applyProtection="1">
      <alignment vertical="center"/>
    </xf>
    <xf numFmtId="169" fontId="0" fillId="0" borderId="0" xfId="0" applyNumberFormat="1" applyFill="1" applyAlignment="1">
      <alignment vertical="center" wrapText="1"/>
    </xf>
    <xf numFmtId="165" fontId="12" fillId="0" borderId="66" xfId="0" applyNumberFormat="1" applyFont="1" applyFill="1" applyBorder="1" applyAlignment="1" applyProtection="1">
      <alignment horizontal="center" vertical="center" wrapText="1"/>
    </xf>
    <xf numFmtId="165" fontId="24" fillId="0" borderId="46" xfId="0" applyNumberFormat="1" applyFont="1" applyFill="1" applyBorder="1" applyAlignment="1" applyProtection="1">
      <alignment horizontal="center" vertical="center" wrapText="1"/>
    </xf>
    <xf numFmtId="3" fontId="18" fillId="2" borderId="46" xfId="12" applyNumberFormat="1" applyFont="1" applyFill="1" applyBorder="1" applyAlignment="1">
      <alignment horizontal="right" vertical="center"/>
    </xf>
    <xf numFmtId="165" fontId="9" fillId="0" borderId="46" xfId="0" applyNumberFormat="1" applyFont="1" applyFill="1" applyBorder="1" applyAlignment="1" applyProtection="1">
      <alignment vertical="center" wrapText="1"/>
      <protection locked="0"/>
    </xf>
    <xf numFmtId="165" fontId="27" fillId="2" borderId="62" xfId="0" applyNumberFormat="1" applyFont="1" applyFill="1" applyBorder="1" applyAlignment="1" applyProtection="1">
      <alignment vertical="center" wrapText="1"/>
    </xf>
    <xf numFmtId="165" fontId="9" fillId="0" borderId="9" xfId="0" applyNumberFormat="1" applyFont="1" applyFill="1" applyBorder="1" applyAlignment="1" applyProtection="1">
      <alignment vertical="center" wrapText="1"/>
    </xf>
    <xf numFmtId="0" fontId="42" fillId="0" borderId="78" xfId="10" applyFont="1" applyBorder="1"/>
    <xf numFmtId="0" fontId="44" fillId="0" borderId="78" xfId="10" applyFont="1" applyBorder="1"/>
    <xf numFmtId="49" fontId="18" fillId="7" borderId="38" xfId="12" applyNumberFormat="1" applyFont="1" applyFill="1" applyBorder="1" applyAlignment="1">
      <alignment horizontal="left" vertical="center"/>
    </xf>
    <xf numFmtId="49" fontId="18" fillId="7" borderId="36" xfId="12" applyNumberFormat="1" applyFont="1" applyFill="1" applyBorder="1" applyAlignment="1">
      <alignment horizontal="left" vertical="center"/>
    </xf>
    <xf numFmtId="165" fontId="0" fillId="8" borderId="36" xfId="0" applyNumberFormat="1" applyFill="1" applyBorder="1" applyAlignment="1">
      <alignment vertical="center" wrapText="1"/>
    </xf>
    <xf numFmtId="49" fontId="59" fillId="7" borderId="38" xfId="12" applyNumberFormat="1" applyFont="1" applyFill="1" applyBorder="1" applyAlignment="1">
      <alignment horizontal="left" vertical="center"/>
    </xf>
    <xf numFmtId="49" fontId="42" fillId="8" borderId="36" xfId="9" applyNumberFormat="1" applyFont="1" applyFill="1" applyBorder="1" applyAlignment="1">
      <alignment horizontal="left" vertical="center"/>
    </xf>
    <xf numFmtId="49" fontId="59" fillId="7" borderId="36" xfId="12" applyNumberFormat="1" applyFont="1" applyFill="1" applyBorder="1" applyAlignment="1">
      <alignment horizontal="left" vertical="center"/>
    </xf>
    <xf numFmtId="1" fontId="65" fillId="0" borderId="9" xfId="0" applyNumberFormat="1" applyFont="1" applyFill="1" applyBorder="1" applyAlignment="1" applyProtection="1">
      <alignment vertical="center" wrapText="1"/>
      <protection locked="0"/>
    </xf>
    <xf numFmtId="165" fontId="23" fillId="8" borderId="36" xfId="0" applyNumberFormat="1" applyFont="1" applyFill="1" applyBorder="1" applyAlignment="1">
      <alignment vertical="center" wrapText="1"/>
    </xf>
    <xf numFmtId="165" fontId="65" fillId="0" borderId="9" xfId="0" applyNumberFormat="1" applyFont="1" applyFill="1" applyBorder="1" applyAlignment="1" applyProtection="1">
      <alignment vertical="center" wrapText="1"/>
      <protection locked="0"/>
    </xf>
    <xf numFmtId="1" fontId="69" fillId="0" borderId="9" xfId="0" applyNumberFormat="1" applyFont="1" applyFill="1" applyBorder="1" applyAlignment="1" applyProtection="1">
      <alignment vertical="center" wrapText="1"/>
      <protection locked="0"/>
    </xf>
    <xf numFmtId="3" fontId="40" fillId="2" borderId="9" xfId="12" applyNumberFormat="1" applyFont="1" applyFill="1" applyBorder="1" applyAlignment="1">
      <alignment horizontal="right" vertical="center"/>
    </xf>
    <xf numFmtId="3" fontId="18" fillId="2" borderId="9" xfId="12" applyNumberFormat="1" applyFont="1" applyFill="1" applyBorder="1" applyAlignment="1">
      <alignment vertical="center"/>
    </xf>
    <xf numFmtId="3" fontId="54" fillId="0" borderId="9" xfId="10" applyNumberFormat="1" applyFont="1" applyBorder="1" applyAlignment="1">
      <alignment wrapText="1"/>
    </xf>
    <xf numFmtId="3" fontId="44" fillId="8" borderId="9" xfId="9" applyNumberFormat="1" applyFont="1" applyFill="1" applyBorder="1"/>
    <xf numFmtId="3" fontId="44" fillId="9" borderId="27" xfId="9" applyNumberFormat="1" applyFont="1" applyFill="1" applyBorder="1" applyAlignment="1">
      <alignment horizontal="right" vertical="center" wrapText="1"/>
    </xf>
    <xf numFmtId="3" fontId="44" fillId="8" borderId="47" xfId="9" applyNumberFormat="1" applyFont="1" applyFill="1" applyBorder="1"/>
    <xf numFmtId="3" fontId="30" fillId="8" borderId="9" xfId="9" applyNumberFormat="1" applyFont="1" applyFill="1" applyBorder="1"/>
    <xf numFmtId="3" fontId="44" fillId="8" borderId="27" xfId="9" applyNumberFormat="1" applyFont="1" applyFill="1" applyBorder="1"/>
    <xf numFmtId="0" fontId="29" fillId="8" borderId="33" xfId="9" applyFont="1" applyFill="1" applyBorder="1"/>
    <xf numFmtId="49" fontId="29" fillId="8" borderId="36" xfId="9" applyNumberFormat="1" applyFont="1" applyFill="1" applyBorder="1"/>
    <xf numFmtId="49" fontId="44" fillId="8" borderId="46" xfId="9" applyNumberFormat="1" applyFont="1" applyFill="1" applyBorder="1"/>
    <xf numFmtId="0" fontId="44" fillId="8" borderId="9" xfId="9" applyFont="1" applyFill="1" applyBorder="1"/>
    <xf numFmtId="0" fontId="7" fillId="8" borderId="0" xfId="9" applyFill="1"/>
    <xf numFmtId="3" fontId="7" fillId="8" borderId="0" xfId="9" applyNumberFormat="1" applyFill="1"/>
    <xf numFmtId="3" fontId="42" fillId="8" borderId="9" xfId="9" applyNumberFormat="1" applyFont="1" applyFill="1" applyBorder="1"/>
    <xf numFmtId="49" fontId="44" fillId="10" borderId="46" xfId="9" applyNumberFormat="1" applyFont="1" applyFill="1" applyBorder="1"/>
    <xf numFmtId="0" fontId="44" fillId="10" borderId="46" xfId="9" applyFont="1" applyFill="1" applyBorder="1"/>
    <xf numFmtId="3" fontId="44" fillId="10" borderId="20" xfId="9" applyNumberFormat="1" applyFont="1" applyFill="1" applyBorder="1"/>
    <xf numFmtId="0" fontId="44" fillId="8" borderId="9" xfId="9" applyFont="1" applyFill="1" applyBorder="1" applyAlignment="1">
      <alignment vertical="center" wrapText="1"/>
    </xf>
    <xf numFmtId="0" fontId="42" fillId="8" borderId="9" xfId="9" applyFont="1" applyFill="1" applyBorder="1" applyAlignment="1">
      <alignment horizontal="left" vertical="center" wrapText="1" indent="4"/>
    </xf>
    <xf numFmtId="3" fontId="44" fillId="8" borderId="9" xfId="9" applyNumberFormat="1" applyFont="1" applyFill="1" applyBorder="1" applyAlignment="1">
      <alignment horizontal="right" vertical="center" wrapText="1"/>
    </xf>
    <xf numFmtId="3" fontId="44" fillId="8" borderId="47" xfId="9" applyNumberFormat="1" applyFont="1" applyFill="1" applyBorder="1" applyAlignment="1">
      <alignment horizontal="right" vertical="center"/>
    </xf>
    <xf numFmtId="3" fontId="44" fillId="8" borderId="9" xfId="9" applyNumberFormat="1" applyFont="1" applyFill="1" applyBorder="1" applyAlignment="1">
      <alignment horizontal="right" vertical="center"/>
    </xf>
    <xf numFmtId="3" fontId="44" fillId="8" borderId="46" xfId="9" applyNumberFormat="1" applyFont="1" applyFill="1" applyBorder="1" applyAlignment="1">
      <alignment horizontal="right" vertical="center"/>
    </xf>
    <xf numFmtId="167" fontId="42" fillId="8" borderId="9" xfId="9" applyNumberFormat="1" applyFont="1" applyFill="1" applyBorder="1" applyAlignment="1">
      <alignment horizontal="left" vertical="center" wrapText="1" indent="4"/>
    </xf>
    <xf numFmtId="49" fontId="42" fillId="8" borderId="9" xfId="9" applyNumberFormat="1" applyFont="1" applyFill="1" applyBorder="1" applyAlignment="1">
      <alignment horizontal="left" vertical="center" wrapText="1" indent="4"/>
    </xf>
    <xf numFmtId="0" fontId="44" fillId="8" borderId="27" xfId="9" applyFont="1" applyFill="1" applyBorder="1" applyAlignment="1">
      <alignment horizontal="left" vertical="center" wrapText="1"/>
    </xf>
    <xf numFmtId="3" fontId="44" fillId="8" borderId="27" xfId="9" applyNumberFormat="1" applyFont="1" applyFill="1" applyBorder="1" applyAlignment="1">
      <alignment horizontal="right" vertical="center" wrapText="1"/>
    </xf>
    <xf numFmtId="3" fontId="44" fillId="8" borderId="51" xfId="9" applyNumberFormat="1" applyFont="1" applyFill="1" applyBorder="1" applyAlignment="1">
      <alignment horizontal="right" vertical="center" wrapText="1"/>
    </xf>
    <xf numFmtId="3" fontId="10" fillId="8" borderId="10" xfId="0" applyNumberFormat="1" applyFont="1" applyFill="1" applyBorder="1" applyAlignment="1" applyProtection="1">
      <alignment vertical="center" wrapText="1"/>
      <protection locked="0"/>
    </xf>
    <xf numFmtId="3" fontId="29" fillId="8" borderId="27" xfId="9" applyNumberFormat="1" applyFont="1" applyFill="1" applyBorder="1"/>
    <xf numFmtId="0" fontId="70" fillId="0" borderId="0" xfId="0" applyFont="1" applyFill="1" applyAlignment="1">
      <alignment vertical="center" wrapText="1"/>
    </xf>
    <xf numFmtId="165" fontId="70" fillId="0" borderId="0" xfId="0" applyNumberFormat="1" applyFont="1" applyFill="1" applyAlignment="1">
      <alignment vertical="center" wrapText="1"/>
    </xf>
    <xf numFmtId="0" fontId="44" fillId="10" borderId="27" xfId="9" applyFont="1" applyFill="1" applyBorder="1" applyAlignment="1">
      <alignment horizontal="left" vertical="center" wrapText="1"/>
    </xf>
    <xf numFmtId="3" fontId="44" fillId="10" borderId="27" xfId="9" applyNumberFormat="1" applyFont="1" applyFill="1" applyBorder="1" applyAlignment="1">
      <alignment horizontal="right" vertical="center" wrapText="1"/>
    </xf>
    <xf numFmtId="3" fontId="44" fillId="10" borderId="51" xfId="9" applyNumberFormat="1" applyFont="1" applyFill="1" applyBorder="1" applyAlignment="1">
      <alignment horizontal="right" vertical="center" wrapText="1"/>
    </xf>
    <xf numFmtId="0" fontId="44" fillId="10" borderId="9" xfId="9" applyFont="1" applyFill="1" applyBorder="1" applyAlignment="1">
      <alignment horizontal="left" vertical="center" wrapText="1"/>
    </xf>
    <xf numFmtId="3" fontId="44" fillId="10" borderId="9" xfId="9" applyNumberFormat="1" applyFont="1" applyFill="1" applyBorder="1" applyAlignment="1">
      <alignment horizontal="right" vertical="center" wrapText="1"/>
    </xf>
    <xf numFmtId="3" fontId="44" fillId="10" borderId="9" xfId="9" applyNumberFormat="1" applyFont="1" applyFill="1" applyBorder="1" applyAlignment="1">
      <alignment horizontal="right" vertical="center"/>
    </xf>
    <xf numFmtId="3" fontId="44" fillId="10" borderId="47" xfId="9" applyNumberFormat="1" applyFont="1" applyFill="1" applyBorder="1" applyAlignment="1">
      <alignment horizontal="right" vertical="center"/>
    </xf>
    <xf numFmtId="3" fontId="44" fillId="10" borderId="46" xfId="9" applyNumberFormat="1" applyFont="1" applyFill="1" applyBorder="1" applyAlignment="1">
      <alignment horizontal="right" vertical="center"/>
    </xf>
    <xf numFmtId="0" fontId="44" fillId="8" borderId="9" xfId="9" applyFont="1" applyFill="1" applyBorder="1" applyAlignment="1">
      <alignment horizontal="left" vertical="center" wrapText="1"/>
    </xf>
    <xf numFmtId="0" fontId="29" fillId="8" borderId="59" xfId="9" applyFont="1" applyFill="1" applyBorder="1" applyAlignment="1">
      <alignment horizontal="center" vertical="center"/>
    </xf>
    <xf numFmtId="49" fontId="44" fillId="8" borderId="46" xfId="9" applyNumberFormat="1" applyFont="1" applyFill="1" applyBorder="1" applyAlignment="1">
      <alignment horizontal="center" vertical="center"/>
    </xf>
    <xf numFmtId="0" fontId="12" fillId="0" borderId="44" xfId="19" applyFont="1" applyFill="1" applyBorder="1" applyAlignment="1" applyProtection="1">
      <alignment horizontal="center" vertical="center" wrapText="1"/>
    </xf>
    <xf numFmtId="0" fontId="44" fillId="0" borderId="9" xfId="9" applyFont="1" applyBorder="1" applyAlignment="1">
      <alignment wrapText="1"/>
    </xf>
    <xf numFmtId="49" fontId="44" fillId="8" borderId="36" xfId="9" applyNumberFormat="1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 applyProtection="1">
      <alignment horizontal="center" vertical="center" wrapText="1"/>
    </xf>
    <xf numFmtId="49" fontId="18" fillId="2" borderId="27" xfId="12" applyNumberFormat="1" applyFont="1" applyFill="1" applyBorder="1" applyAlignment="1">
      <alignment horizontal="left" vertical="center"/>
    </xf>
    <xf numFmtId="165" fontId="0" fillId="0" borderId="33" xfId="0" applyNumberFormat="1" applyFill="1" applyBorder="1" applyAlignment="1">
      <alignment vertical="center" wrapText="1"/>
    </xf>
    <xf numFmtId="0" fontId="54" fillId="0" borderId="78" xfId="10" applyFont="1" applyBorder="1" applyAlignment="1">
      <alignment horizontal="left" wrapText="1"/>
    </xf>
    <xf numFmtId="3" fontId="54" fillId="0" borderId="78" xfId="10" applyNumberFormat="1" applyFont="1" applyFill="1" applyBorder="1"/>
    <xf numFmtId="0" fontId="54" fillId="0" borderId="46" xfId="10" applyFont="1" applyBorder="1" applyAlignment="1">
      <alignment horizontal="left" wrapText="1"/>
    </xf>
    <xf numFmtId="0" fontId="54" fillId="0" borderId="78" xfId="10" applyFont="1" applyBorder="1" applyAlignment="1">
      <alignment wrapText="1"/>
    </xf>
    <xf numFmtId="49" fontId="44" fillId="0" borderId="9" xfId="9" applyNumberFormat="1" applyFont="1" applyFill="1" applyBorder="1" applyAlignment="1">
      <alignment horizontal="left" vertical="center"/>
    </xf>
    <xf numFmtId="0" fontId="54" fillId="0" borderId="20" xfId="10" applyFont="1" applyFill="1" applyBorder="1" applyAlignment="1">
      <alignment horizontal="left" wrapText="1"/>
    </xf>
    <xf numFmtId="0" fontId="54" fillId="0" borderId="9" xfId="10" applyFont="1" applyFill="1" applyBorder="1" applyAlignment="1">
      <alignment horizontal="left" wrapText="1"/>
    </xf>
    <xf numFmtId="3" fontId="54" fillId="0" borderId="9" xfId="10" applyNumberFormat="1" applyFont="1" applyFill="1" applyBorder="1" applyAlignment="1">
      <alignment horizontal="right" wrapText="1"/>
    </xf>
    <xf numFmtId="3" fontId="54" fillId="0" borderId="9" xfId="10" applyNumberFormat="1" applyFont="1" applyFill="1" applyBorder="1" applyAlignment="1">
      <alignment wrapText="1"/>
    </xf>
    <xf numFmtId="49" fontId="30" fillId="0" borderId="9" xfId="9" applyNumberFormat="1" applyFont="1" applyFill="1" applyBorder="1" applyAlignment="1">
      <alignment horizontal="left" vertical="center"/>
    </xf>
    <xf numFmtId="0" fontId="62" fillId="0" borderId="9" xfId="10" applyFont="1" applyFill="1" applyBorder="1" applyAlignment="1">
      <alignment horizontal="left" wrapText="1"/>
    </xf>
    <xf numFmtId="3" fontId="38" fillId="0" borderId="9" xfId="10" applyNumberFormat="1" applyFont="1" applyFill="1" applyBorder="1" applyAlignment="1">
      <alignment horizontal="right" wrapText="1"/>
    </xf>
    <xf numFmtId="3" fontId="38" fillId="0" borderId="9" xfId="10" applyNumberFormat="1" applyFont="1" applyFill="1" applyBorder="1" applyAlignment="1">
      <alignment wrapText="1"/>
    </xf>
    <xf numFmtId="0" fontId="42" fillId="0" borderId="78" xfId="10" applyFont="1" applyFill="1" applyBorder="1" applyAlignment="1">
      <alignment horizontal="left" vertical="center" wrapText="1"/>
    </xf>
    <xf numFmtId="0" fontId="44" fillId="0" borderId="78" xfId="10" applyFont="1" applyFill="1" applyBorder="1" applyAlignment="1">
      <alignment horizontal="left" vertical="center" wrapText="1"/>
    </xf>
    <xf numFmtId="165" fontId="12" fillId="2" borderId="27" xfId="0" applyNumberFormat="1" applyFont="1" applyFill="1" applyBorder="1" applyAlignment="1" applyProtection="1">
      <alignment vertical="center" wrapText="1"/>
      <protection locked="0"/>
    </xf>
    <xf numFmtId="49" fontId="18" fillId="2" borderId="27" xfId="12" applyNumberFormat="1" applyFont="1" applyFill="1" applyBorder="1" applyAlignment="1" applyProtection="1">
      <alignment horizontal="left" vertical="center"/>
      <protection locked="0"/>
    </xf>
    <xf numFmtId="1" fontId="9" fillId="0" borderId="46" xfId="0" applyNumberFormat="1" applyFont="1" applyFill="1" applyBorder="1" applyAlignment="1" applyProtection="1">
      <alignment vertical="center" wrapText="1"/>
      <protection locked="0"/>
    </xf>
    <xf numFmtId="0" fontId="54" fillId="0" borderId="78" xfId="10" applyFont="1" applyFill="1" applyBorder="1" applyAlignment="1">
      <alignment horizontal="left" wrapText="1"/>
    </xf>
    <xf numFmtId="0" fontId="54" fillId="0" borderId="78" xfId="10" applyFont="1" applyFill="1" applyBorder="1" applyAlignment="1">
      <alignment wrapText="1"/>
    </xf>
    <xf numFmtId="0" fontId="54" fillId="8" borderId="78" xfId="10" applyFont="1" applyFill="1" applyBorder="1" applyAlignment="1">
      <alignment wrapText="1"/>
    </xf>
    <xf numFmtId="3" fontId="54" fillId="8" borderId="78" xfId="10" applyNumberFormat="1" applyFont="1" applyFill="1" applyBorder="1"/>
    <xf numFmtId="1" fontId="9" fillId="8" borderId="46" xfId="0" applyNumberFormat="1" applyFont="1" applyFill="1" applyBorder="1" applyAlignment="1" applyProtection="1">
      <alignment vertical="center" wrapText="1"/>
      <protection locked="0"/>
    </xf>
    <xf numFmtId="0" fontId="54" fillId="0" borderId="20" xfId="10" applyFont="1" applyBorder="1" applyAlignment="1">
      <alignment wrapText="1"/>
    </xf>
    <xf numFmtId="165" fontId="9" fillId="0" borderId="20" xfId="0" applyNumberFormat="1" applyFont="1" applyFill="1" applyBorder="1" applyAlignment="1" applyProtection="1">
      <alignment vertical="center" wrapText="1"/>
      <protection locked="0"/>
    </xf>
    <xf numFmtId="0" fontId="54" fillId="0" borderId="20" xfId="10" applyFont="1" applyFill="1" applyBorder="1" applyAlignment="1">
      <alignment wrapText="1"/>
    </xf>
    <xf numFmtId="3" fontId="42" fillId="0" borderId="78" xfId="10" applyNumberFormat="1" applyFont="1" applyFill="1" applyBorder="1"/>
    <xf numFmtId="3" fontId="18" fillId="2" borderId="27" xfId="12" applyNumberFormat="1" applyFont="1" applyFill="1" applyBorder="1" applyAlignment="1">
      <alignment horizontal="right" vertical="center"/>
    </xf>
    <xf numFmtId="165" fontId="27" fillId="2" borderId="27" xfId="0" applyNumberFormat="1" applyFont="1" applyFill="1" applyBorder="1" applyAlignment="1" applyProtection="1">
      <alignment horizontal="right" vertical="center" wrapText="1"/>
    </xf>
    <xf numFmtId="0" fontId="54" fillId="0" borderId="46" xfId="10" applyFont="1" applyBorder="1" applyAlignment="1">
      <alignment horizontal="center" wrapText="1"/>
    </xf>
    <xf numFmtId="0" fontId="3" fillId="0" borderId="85" xfId="20" applyBorder="1" applyAlignment="1">
      <alignment vertical="center"/>
    </xf>
    <xf numFmtId="0" fontId="74" fillId="0" borderId="86" xfId="20" applyFont="1" applyFill="1" applyBorder="1" applyAlignment="1">
      <alignment horizontal="center" vertical="center"/>
    </xf>
    <xf numFmtId="0" fontId="74" fillId="0" borderId="99" xfId="20" applyFont="1" applyFill="1" applyBorder="1" applyAlignment="1">
      <alignment horizontal="center" vertical="center" wrapText="1"/>
    </xf>
    <xf numFmtId="0" fontId="3" fillId="0" borderId="0" xfId="20" applyAlignment="1">
      <alignment vertical="center"/>
    </xf>
    <xf numFmtId="0" fontId="75" fillId="11" borderId="99" xfId="20" applyFont="1" applyFill="1" applyBorder="1" applyAlignment="1">
      <alignment horizontal="center" vertical="center" wrapText="1"/>
    </xf>
    <xf numFmtId="0" fontId="76" fillId="11" borderId="86" xfId="20" applyFont="1" applyFill="1" applyBorder="1" applyAlignment="1">
      <alignment horizontal="center" vertical="center"/>
    </xf>
    <xf numFmtId="0" fontId="75" fillId="11" borderId="99" xfId="20" applyFont="1" applyFill="1" applyBorder="1" applyAlignment="1">
      <alignment horizontal="right" vertical="center" wrapText="1"/>
    </xf>
    <xf numFmtId="0" fontId="77" fillId="0" borderId="0" xfId="20" applyFont="1" applyAlignment="1">
      <alignment vertical="center"/>
    </xf>
    <xf numFmtId="0" fontId="75" fillId="12" borderId="99" xfId="20" applyFont="1" applyFill="1" applyBorder="1" applyAlignment="1">
      <alignment horizontal="center" vertical="center" wrapText="1"/>
    </xf>
    <xf numFmtId="0" fontId="75" fillId="12" borderId="87" xfId="20" applyFont="1" applyFill="1" applyBorder="1" applyAlignment="1">
      <alignment horizontal="right" vertical="center"/>
    </xf>
    <xf numFmtId="0" fontId="75" fillId="0" borderId="100" xfId="20" applyFont="1" applyBorder="1" applyAlignment="1">
      <alignment horizontal="center" vertical="center" wrapText="1"/>
    </xf>
    <xf numFmtId="0" fontId="75" fillId="0" borderId="101" xfId="20" applyFont="1" applyBorder="1" applyAlignment="1">
      <alignment horizontal="left" vertical="center" wrapText="1"/>
    </xf>
    <xf numFmtId="3" fontId="77" fillId="0" borderId="102" xfId="20" applyNumberFormat="1" applyFont="1" applyBorder="1" applyAlignment="1">
      <alignment horizontal="right" vertical="center"/>
    </xf>
    <xf numFmtId="3" fontId="77" fillId="0" borderId="100" xfId="20" applyNumberFormat="1" applyFont="1" applyBorder="1" applyAlignment="1">
      <alignment horizontal="right" vertical="center"/>
    </xf>
    <xf numFmtId="0" fontId="75" fillId="0" borderId="103" xfId="20" applyFont="1" applyBorder="1" applyAlignment="1">
      <alignment horizontal="center" vertical="center" wrapText="1"/>
    </xf>
    <xf numFmtId="0" fontId="75" fillId="0" borderId="104" xfId="20" applyFont="1" applyBorder="1" applyAlignment="1">
      <alignment horizontal="left" vertical="center" wrapText="1"/>
    </xf>
    <xf numFmtId="0" fontId="75" fillId="0" borderId="102" xfId="20" applyFont="1" applyBorder="1" applyAlignment="1">
      <alignment horizontal="center" vertical="center" wrapText="1"/>
    </xf>
    <xf numFmtId="0" fontId="75" fillId="0" borderId="92" xfId="20" applyFont="1" applyBorder="1" applyAlignment="1">
      <alignment horizontal="left" vertical="center"/>
    </xf>
    <xf numFmtId="0" fontId="75" fillId="0" borderId="105" xfId="20" applyFont="1" applyBorder="1" applyAlignment="1">
      <alignment horizontal="center" vertical="center" wrapText="1"/>
    </xf>
    <xf numFmtId="0" fontId="77" fillId="0" borderId="106" xfId="20" applyFont="1" applyBorder="1" applyAlignment="1">
      <alignment horizontal="left" vertical="center"/>
    </xf>
    <xf numFmtId="3" fontId="75" fillId="0" borderId="105" xfId="20" applyNumberFormat="1" applyFont="1" applyBorder="1" applyAlignment="1">
      <alignment horizontal="right" vertical="center"/>
    </xf>
    <xf numFmtId="0" fontId="77" fillId="0" borderId="106" xfId="20" applyFont="1" applyBorder="1" applyAlignment="1">
      <alignment horizontal="left" vertical="center" wrapText="1"/>
    </xf>
    <xf numFmtId="0" fontId="75" fillId="0" borderId="105" xfId="20" applyFont="1" applyBorder="1" applyAlignment="1">
      <alignment horizontal="center" vertical="center"/>
    </xf>
    <xf numFmtId="0" fontId="75" fillId="0" borderId="106" xfId="20" applyFont="1" applyBorder="1" applyAlignment="1">
      <alignment vertical="center"/>
    </xf>
    <xf numFmtId="0" fontId="77" fillId="0" borderId="106" xfId="20" applyFont="1" applyBorder="1" applyAlignment="1">
      <alignment vertical="center"/>
    </xf>
    <xf numFmtId="3" fontId="77" fillId="0" borderId="105" xfId="20" applyNumberFormat="1" applyFont="1" applyBorder="1" applyAlignment="1">
      <alignment horizontal="right" vertical="center"/>
    </xf>
    <xf numFmtId="0" fontId="77" fillId="0" borderId="105" xfId="20" applyFont="1" applyBorder="1" applyAlignment="1">
      <alignment horizontal="center" vertical="center"/>
    </xf>
    <xf numFmtId="0" fontId="75" fillId="0" borderId="107" xfId="20" applyFont="1" applyBorder="1" applyAlignment="1">
      <alignment horizontal="center" vertical="center"/>
    </xf>
    <xf numFmtId="0" fontId="75" fillId="0" borderId="108" xfId="20" applyFont="1" applyFill="1" applyBorder="1" applyAlignment="1">
      <alignment horizontal="left" vertical="center" wrapText="1"/>
    </xf>
    <xf numFmtId="3" fontId="77" fillId="0" borderId="107" xfId="20" applyNumberFormat="1" applyFont="1" applyBorder="1" applyAlignment="1">
      <alignment horizontal="right" vertical="center"/>
    </xf>
    <xf numFmtId="0" fontId="75" fillId="12" borderId="99" xfId="20" applyFont="1" applyFill="1" applyBorder="1" applyAlignment="1">
      <alignment horizontal="center" vertical="center"/>
    </xf>
    <xf numFmtId="0" fontId="75" fillId="0" borderId="100" xfId="20" applyFont="1" applyBorder="1" applyAlignment="1">
      <alignment horizontal="center" vertical="center"/>
    </xf>
    <xf numFmtId="0" fontId="75" fillId="0" borderId="101" xfId="20" applyFont="1" applyBorder="1" applyAlignment="1">
      <alignment horizontal="left" vertical="center"/>
    </xf>
    <xf numFmtId="3" fontId="3" fillId="0" borderId="105" xfId="20" applyNumberFormat="1" applyBorder="1" applyAlignment="1">
      <alignment horizontal="right" vertical="center"/>
    </xf>
    <xf numFmtId="0" fontId="75" fillId="0" borderId="106" xfId="20" applyFont="1" applyFill="1" applyBorder="1" applyAlignment="1">
      <alignment horizontal="left" vertical="center" wrapText="1"/>
    </xf>
    <xf numFmtId="0" fontId="77" fillId="0" borderId="101" xfId="20" applyFont="1" applyBorder="1" applyAlignment="1">
      <alignment horizontal="left" vertical="center" wrapText="1"/>
    </xf>
    <xf numFmtId="0" fontId="77" fillId="0" borderId="106" xfId="20" applyFont="1" applyFill="1" applyBorder="1" applyAlignment="1">
      <alignment horizontal="left" vertical="center" wrapText="1"/>
    </xf>
    <xf numFmtId="0" fontId="75" fillId="0" borderId="107" xfId="20" applyFont="1" applyBorder="1" applyAlignment="1">
      <alignment horizontal="center" vertical="center" wrapText="1"/>
    </xf>
    <xf numFmtId="0" fontId="77" fillId="0" borderId="108" xfId="20" applyFont="1" applyFill="1" applyBorder="1" applyAlignment="1">
      <alignment horizontal="left" vertical="center" wrapText="1"/>
    </xf>
    <xf numFmtId="0" fontId="73" fillId="0" borderId="99" xfId="20" applyFont="1" applyBorder="1" applyAlignment="1">
      <alignment vertical="center"/>
    </xf>
    <xf numFmtId="0" fontId="79" fillId="0" borderId="85" xfId="20" applyFont="1" applyBorder="1" applyAlignment="1">
      <alignment vertical="center"/>
    </xf>
    <xf numFmtId="0" fontId="75" fillId="12" borderId="91" xfId="20" applyFont="1" applyFill="1" applyBorder="1" applyAlignment="1">
      <alignment horizontal="center" vertical="center" wrapText="1"/>
    </xf>
    <xf numFmtId="0" fontId="75" fillId="13" borderId="86" xfId="20" applyFont="1" applyFill="1" applyBorder="1" applyAlignment="1">
      <alignment horizontal="right" vertical="center" wrapText="1"/>
    </xf>
    <xf numFmtId="0" fontId="75" fillId="13" borderId="87" xfId="20" applyFont="1" applyFill="1" applyBorder="1" applyAlignment="1">
      <alignment horizontal="right" vertical="center" wrapText="1"/>
    </xf>
    <xf numFmtId="3" fontId="77" fillId="0" borderId="109" xfId="20" applyNumberFormat="1" applyFont="1" applyBorder="1" applyAlignment="1">
      <alignment horizontal="right" vertical="center" wrapText="1"/>
    </xf>
    <xf numFmtId="3" fontId="77" fillId="0" borderId="110" xfId="20" applyNumberFormat="1" applyFont="1" applyBorder="1" applyAlignment="1">
      <alignment horizontal="right" vertical="center" wrapText="1"/>
    </xf>
    <xf numFmtId="0" fontId="75" fillId="0" borderId="106" xfId="20" applyFont="1" applyBorder="1" applyAlignment="1">
      <alignment horizontal="left" vertical="center" wrapText="1"/>
    </xf>
    <xf numFmtId="3" fontId="77" fillId="0" borderId="111" xfId="20" applyNumberFormat="1" applyFont="1" applyBorder="1" applyAlignment="1">
      <alignment horizontal="right" vertical="center" wrapText="1"/>
    </xf>
    <xf numFmtId="3" fontId="77" fillId="0" borderId="112" xfId="20" applyNumberFormat="1" applyFont="1" applyBorder="1" applyAlignment="1">
      <alignment horizontal="right" vertical="center" wrapText="1"/>
    </xf>
    <xf numFmtId="3" fontId="77" fillId="0" borderId="111" xfId="20" applyNumberFormat="1" applyFont="1" applyBorder="1" applyAlignment="1">
      <alignment horizontal="right" vertical="center"/>
    </xf>
    <xf numFmtId="3" fontId="77" fillId="0" borderId="112" xfId="20" applyNumberFormat="1" applyFont="1" applyBorder="1" applyAlignment="1">
      <alignment horizontal="right" vertical="center"/>
    </xf>
    <xf numFmtId="3" fontId="77" fillId="0" borderId="109" xfId="20" applyNumberFormat="1" applyFont="1" applyBorder="1" applyAlignment="1">
      <alignment horizontal="right" vertical="center"/>
    </xf>
    <xf numFmtId="3" fontId="78" fillId="0" borderId="112" xfId="20" applyNumberFormat="1" applyFont="1" applyBorder="1" applyAlignment="1">
      <alignment horizontal="right" vertical="center" wrapText="1"/>
    </xf>
    <xf numFmtId="0" fontId="77" fillId="0" borderId="105" xfId="20" applyFont="1" applyBorder="1" applyAlignment="1">
      <alignment vertical="center"/>
    </xf>
    <xf numFmtId="0" fontId="77" fillId="0" borderId="111" xfId="20" applyFont="1" applyBorder="1" applyAlignment="1">
      <alignment horizontal="right" vertical="center"/>
    </xf>
    <xf numFmtId="0" fontId="77" fillId="0" borderId="112" xfId="20" applyFont="1" applyBorder="1" applyAlignment="1">
      <alignment horizontal="right" vertical="center"/>
    </xf>
    <xf numFmtId="0" fontId="77" fillId="0" borderId="107" xfId="20" applyFont="1" applyBorder="1" applyAlignment="1">
      <alignment vertical="center"/>
    </xf>
    <xf numFmtId="0" fontId="77" fillId="0" borderId="108" xfId="20" applyFont="1" applyBorder="1" applyAlignment="1">
      <alignment vertical="center"/>
    </xf>
    <xf numFmtId="0" fontId="78" fillId="12" borderId="99" xfId="20" applyFont="1" applyFill="1" applyBorder="1" applyAlignment="1">
      <alignment horizontal="center" vertical="center"/>
    </xf>
    <xf numFmtId="0" fontId="77" fillId="0" borderId="93" xfId="20" applyFont="1" applyBorder="1" applyAlignment="1">
      <alignment vertical="center"/>
    </xf>
    <xf numFmtId="3" fontId="77" fillId="0" borderId="94" xfId="20" applyNumberFormat="1" applyFont="1" applyBorder="1" applyAlignment="1">
      <alignment horizontal="right" vertical="center"/>
    </xf>
    <xf numFmtId="3" fontId="77" fillId="0" borderId="94" xfId="20" applyNumberFormat="1" applyFont="1" applyBorder="1" applyAlignment="1">
      <alignment horizontal="right" vertical="center" wrapText="1"/>
    </xf>
    <xf numFmtId="0" fontId="3" fillId="0" borderId="105" xfId="20" applyBorder="1" applyAlignment="1">
      <alignment vertical="center"/>
    </xf>
    <xf numFmtId="0" fontId="3" fillId="0" borderId="106" xfId="20" applyBorder="1" applyAlignment="1">
      <alignment vertical="center"/>
    </xf>
    <xf numFmtId="0" fontId="3" fillId="0" borderId="111" xfId="20" applyBorder="1" applyAlignment="1">
      <alignment horizontal="right" vertical="center"/>
    </xf>
    <xf numFmtId="0" fontId="3" fillId="0" borderId="112" xfId="20" applyBorder="1" applyAlignment="1">
      <alignment horizontal="right" vertical="center"/>
    </xf>
    <xf numFmtId="0" fontId="3" fillId="0" borderId="107" xfId="20" applyBorder="1" applyAlignment="1">
      <alignment vertical="center"/>
    </xf>
    <xf numFmtId="0" fontId="3" fillId="0" borderId="108" xfId="20" applyBorder="1" applyAlignment="1">
      <alignment vertical="center"/>
    </xf>
    <xf numFmtId="0" fontId="3" fillId="0" borderId="113" xfId="20" applyBorder="1" applyAlignment="1">
      <alignment horizontal="right" vertical="center"/>
    </xf>
    <xf numFmtId="0" fontId="3" fillId="0" borderId="114" xfId="20" applyBorder="1" applyAlignment="1">
      <alignment horizontal="right" vertical="center"/>
    </xf>
    <xf numFmtId="0" fontId="80" fillId="0" borderId="0" xfId="20" applyFont="1" applyAlignment="1">
      <alignment vertical="center"/>
    </xf>
    <xf numFmtId="0" fontId="77" fillId="0" borderId="93" xfId="20" applyFont="1" applyBorder="1" applyAlignment="1">
      <alignment horizontal="left" vertical="center" wrapText="1"/>
    </xf>
    <xf numFmtId="3" fontId="77" fillId="0" borderId="95" xfId="20" applyNumberFormat="1" applyFont="1" applyBorder="1" applyAlignment="1">
      <alignment horizontal="right" vertical="center"/>
    </xf>
    <xf numFmtId="3" fontId="77" fillId="0" borderId="115" xfId="20" applyNumberFormat="1" applyFont="1" applyBorder="1" applyAlignment="1">
      <alignment horizontal="right" vertical="center"/>
    </xf>
    <xf numFmtId="3" fontId="77" fillId="0" borderId="116" xfId="20" applyNumberFormat="1" applyFont="1" applyBorder="1" applyAlignment="1">
      <alignment horizontal="right" vertical="center"/>
    </xf>
    <xf numFmtId="3" fontId="77" fillId="0" borderId="113" xfId="20" applyNumberFormat="1" applyFont="1" applyBorder="1" applyAlignment="1">
      <alignment horizontal="right" vertical="center"/>
    </xf>
    <xf numFmtId="3" fontId="77" fillId="0" borderId="114" xfId="20" applyNumberFormat="1" applyFont="1" applyBorder="1" applyAlignment="1">
      <alignment horizontal="right" vertical="center"/>
    </xf>
    <xf numFmtId="0" fontId="3" fillId="0" borderId="0" xfId="20" applyAlignment="1">
      <alignment horizontal="right" vertical="center"/>
    </xf>
    <xf numFmtId="0" fontId="75" fillId="0" borderId="96" xfId="20" applyFont="1" applyBorder="1" applyAlignment="1">
      <alignment horizontal="center" vertical="center" wrapText="1"/>
    </xf>
    <xf numFmtId="0" fontId="75" fillId="0" borderId="96" xfId="20" applyFont="1" applyBorder="1" applyAlignment="1">
      <alignment horizontal="center" vertical="center"/>
    </xf>
    <xf numFmtId="0" fontId="76" fillId="0" borderId="106" xfId="20" applyFont="1" applyBorder="1" applyAlignment="1">
      <alignment horizontal="left" vertical="center" wrapText="1"/>
    </xf>
    <xf numFmtId="3" fontId="76" fillId="0" borderId="112" xfId="20" applyNumberFormat="1" applyFont="1" applyBorder="1" applyAlignment="1">
      <alignment horizontal="right" vertical="center" wrapText="1"/>
    </xf>
    <xf numFmtId="3" fontId="75" fillId="0" borderId="102" xfId="20" applyNumberFormat="1" applyFont="1" applyBorder="1" applyAlignment="1">
      <alignment horizontal="right" vertical="center"/>
    </xf>
    <xf numFmtId="3" fontId="75" fillId="0" borderId="105" xfId="20" applyNumberFormat="1" applyFont="1" applyBorder="1" applyAlignment="1">
      <alignment horizontal="right" vertical="center" wrapText="1"/>
    </xf>
    <xf numFmtId="3" fontId="75" fillId="0" borderId="100" xfId="20" applyNumberFormat="1" applyFont="1" applyBorder="1" applyAlignment="1">
      <alignment horizontal="right" vertical="center"/>
    </xf>
    <xf numFmtId="3" fontId="75" fillId="0" borderId="103" xfId="20" applyNumberFormat="1" applyFont="1" applyBorder="1" applyAlignment="1">
      <alignment horizontal="right" vertical="center"/>
    </xf>
    <xf numFmtId="3" fontId="3" fillId="0" borderId="0" xfId="20" applyNumberFormat="1" applyAlignment="1">
      <alignment vertical="center"/>
    </xf>
    <xf numFmtId="3" fontId="79" fillId="0" borderId="87" xfId="20" applyNumberFormat="1" applyFont="1" applyBorder="1" applyAlignment="1">
      <alignment horizontal="right" vertical="center"/>
    </xf>
    <xf numFmtId="165" fontId="11" fillId="0" borderId="44" xfId="0" applyNumberFormat="1" applyFont="1" applyFill="1" applyBorder="1" applyAlignment="1">
      <alignment vertical="center" wrapText="1"/>
    </xf>
    <xf numFmtId="165" fontId="11" fillId="0" borderId="4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5" fillId="0" borderId="125" xfId="20" applyFont="1" applyBorder="1" applyAlignment="1">
      <alignment horizontal="center" vertical="center"/>
    </xf>
    <xf numFmtId="0" fontId="77" fillId="0" borderId="126" xfId="20" applyFont="1" applyBorder="1" applyAlignment="1">
      <alignment horizontal="left" vertical="center" wrapText="1"/>
    </xf>
    <xf numFmtId="3" fontId="3" fillId="0" borderId="125" xfId="20" applyNumberFormat="1" applyBorder="1" applyAlignment="1">
      <alignment horizontal="right" vertical="center"/>
    </xf>
    <xf numFmtId="0" fontId="75" fillId="0" borderId="127" xfId="20" applyFont="1" applyFill="1" applyBorder="1" applyAlignment="1">
      <alignment horizontal="left" vertical="center" wrapText="1"/>
    </xf>
    <xf numFmtId="3" fontId="77" fillId="0" borderId="128" xfId="20" applyNumberFormat="1" applyFont="1" applyBorder="1" applyAlignment="1">
      <alignment horizontal="right" vertical="center"/>
    </xf>
    <xf numFmtId="3" fontId="75" fillId="0" borderId="128" xfId="20" applyNumberFormat="1" applyFont="1" applyBorder="1" applyAlignment="1">
      <alignment horizontal="right" vertical="center"/>
    </xf>
    <xf numFmtId="0" fontId="11" fillId="8" borderId="11" xfId="0" applyFont="1" applyFill="1" applyBorder="1" applyAlignment="1" applyProtection="1">
      <alignment horizontal="center" vertical="center" wrapText="1"/>
    </xf>
    <xf numFmtId="49" fontId="10" fillId="8" borderId="12" xfId="19" applyNumberFormat="1" applyFont="1" applyFill="1" applyBorder="1" applyAlignment="1" applyProtection="1">
      <alignment horizontal="left" vertical="center" wrapText="1" indent="1"/>
    </xf>
    <xf numFmtId="0" fontId="15" fillId="8" borderId="12" xfId="19" applyFont="1" applyFill="1" applyBorder="1" applyAlignment="1" applyProtection="1">
      <alignment horizontal="left" vertical="center" wrapText="1" indent="1"/>
    </xf>
    <xf numFmtId="165" fontId="15" fillId="8" borderId="13" xfId="0" applyNumberFormat="1" applyFont="1" applyFill="1" applyBorder="1" applyAlignment="1" applyProtection="1">
      <alignment vertical="center" wrapText="1"/>
    </xf>
    <xf numFmtId="0" fontId="10" fillId="8" borderId="0" xfId="0" applyFont="1" applyFill="1" applyAlignment="1">
      <alignment vertical="center" wrapText="1"/>
    </xf>
    <xf numFmtId="0" fontId="11" fillId="8" borderId="8" xfId="0" applyFont="1" applyFill="1" applyBorder="1" applyAlignment="1" applyProtection="1">
      <alignment horizontal="center" vertical="center" wrapText="1"/>
    </xf>
    <xf numFmtId="49" fontId="10" fillId="8" borderId="9" xfId="19" applyNumberFormat="1" applyFont="1" applyFill="1" applyBorder="1" applyAlignment="1" applyProtection="1">
      <alignment horizontal="left" vertical="center" wrapText="1" indent="1"/>
    </xf>
    <xf numFmtId="0" fontId="15" fillId="8" borderId="9" xfId="19" applyFont="1" applyFill="1" applyBorder="1" applyAlignment="1" applyProtection="1">
      <alignment horizontal="left" vertical="center" wrapText="1" indent="1"/>
    </xf>
    <xf numFmtId="165" fontId="15" fillId="8" borderId="10" xfId="0" applyNumberFormat="1" applyFont="1" applyFill="1" applyBorder="1" applyAlignment="1" applyProtection="1">
      <alignment vertical="center" wrapText="1"/>
    </xf>
    <xf numFmtId="165" fontId="10" fillId="8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24" applyAlignment="1">
      <alignment vertical="center"/>
    </xf>
    <xf numFmtId="0" fontId="83" fillId="0" borderId="0" xfId="24" applyFont="1" applyAlignment="1">
      <alignment vertical="center"/>
    </xf>
    <xf numFmtId="0" fontId="82" fillId="0" borderId="0" xfId="24" applyFont="1" applyBorder="1" applyAlignment="1">
      <alignment vertical="center"/>
    </xf>
    <xf numFmtId="0" fontId="1" fillId="0" borderId="0" xfId="24" applyBorder="1" applyAlignment="1">
      <alignment vertical="center"/>
    </xf>
    <xf numFmtId="3" fontId="87" fillId="13" borderId="0" xfId="24" applyNumberFormat="1" applyFont="1" applyFill="1" applyBorder="1" applyAlignment="1">
      <alignment vertical="center"/>
    </xf>
    <xf numFmtId="3" fontId="74" fillId="0" borderId="0" xfId="24" applyNumberFormat="1" applyFont="1" applyBorder="1" applyAlignment="1">
      <alignment vertical="center"/>
    </xf>
    <xf numFmtId="3" fontId="74" fillId="13" borderId="0" xfId="24" applyNumberFormat="1" applyFont="1" applyFill="1" applyBorder="1" applyAlignment="1">
      <alignment vertical="center"/>
    </xf>
    <xf numFmtId="3" fontId="89" fillId="0" borderId="139" xfId="24" applyNumberFormat="1" applyFont="1" applyBorder="1" applyAlignment="1">
      <alignment vertical="center"/>
    </xf>
    <xf numFmtId="4" fontId="89" fillId="0" borderId="139" xfId="24" applyNumberFormat="1" applyFont="1" applyBorder="1" applyAlignment="1">
      <alignment vertical="center"/>
    </xf>
    <xf numFmtId="3" fontId="74" fillId="0" borderId="139" xfId="24" applyNumberFormat="1" applyFont="1" applyBorder="1" applyAlignment="1">
      <alignment vertical="center"/>
    </xf>
    <xf numFmtId="0" fontId="82" fillId="0" borderId="0" xfId="24" applyFont="1" applyAlignment="1">
      <alignment vertical="center"/>
    </xf>
    <xf numFmtId="0" fontId="1" fillId="0" borderId="0" xfId="24"/>
    <xf numFmtId="0" fontId="78" fillId="0" borderId="129" xfId="24" applyFont="1" applyBorder="1" applyAlignment="1">
      <alignment horizontal="center" vertical="center" wrapText="1"/>
    </xf>
    <xf numFmtId="0" fontId="78" fillId="0" borderId="130" xfId="24" applyFont="1" applyBorder="1" applyAlignment="1">
      <alignment horizontal="center" vertical="center" wrapText="1"/>
    </xf>
    <xf numFmtId="0" fontId="78" fillId="0" borderId="131" xfId="24" applyFont="1" applyBorder="1" applyAlignment="1">
      <alignment horizontal="center" vertical="center" wrapText="1"/>
    </xf>
    <xf numFmtId="3" fontId="88" fillId="0" borderId="0" xfId="24" applyNumberFormat="1" applyFont="1"/>
    <xf numFmtId="3" fontId="88" fillId="0" borderId="0" xfId="24" applyNumberFormat="1" applyFont="1" applyAlignment="1">
      <alignment vertical="center"/>
    </xf>
    <xf numFmtId="0" fontId="87" fillId="0" borderId="0" xfId="24" applyFont="1" applyAlignment="1">
      <alignment horizontal="right"/>
    </xf>
    <xf numFmtId="3" fontId="74" fillId="0" borderId="0" xfId="24" applyNumberFormat="1" applyFont="1"/>
    <xf numFmtId="0" fontId="78" fillId="0" borderId="0" xfId="24" applyFont="1" applyAlignment="1"/>
    <xf numFmtId="0" fontId="75" fillId="0" borderId="0" xfId="24" applyFont="1" applyBorder="1" applyAlignment="1">
      <alignment horizontal="center" vertical="center" wrapText="1"/>
    </xf>
    <xf numFmtId="0" fontId="78" fillId="13" borderId="148" xfId="24" applyFont="1" applyFill="1" applyBorder="1" applyAlignment="1">
      <alignment horizontal="center" vertical="center" wrapText="1"/>
    </xf>
    <xf numFmtId="0" fontId="88" fillId="0" borderId="149" xfId="24" applyFont="1" applyBorder="1"/>
    <xf numFmtId="3" fontId="88" fillId="0" borderId="135" xfId="24" applyNumberFormat="1" applyFont="1" applyBorder="1"/>
    <xf numFmtId="0" fontId="88" fillId="0" borderId="150" xfId="24" applyFont="1" applyBorder="1"/>
    <xf numFmtId="0" fontId="88" fillId="0" borderId="151" xfId="24" applyFont="1" applyBorder="1"/>
    <xf numFmtId="3" fontId="88" fillId="0" borderId="139" xfId="24" applyNumberFormat="1" applyFont="1" applyBorder="1"/>
    <xf numFmtId="0" fontId="74" fillId="14" borderId="152" xfId="24" applyFont="1" applyFill="1" applyBorder="1"/>
    <xf numFmtId="3" fontId="74" fillId="14" borderId="153" xfId="24" applyNumberFormat="1" applyFont="1" applyFill="1" applyBorder="1"/>
    <xf numFmtId="0" fontId="87" fillId="0" borderId="0" xfId="24" applyFont="1"/>
    <xf numFmtId="0" fontId="88" fillId="0" borderId="0" xfId="24" applyFont="1"/>
    <xf numFmtId="3" fontId="77" fillId="0" borderId="155" xfId="20" applyNumberFormat="1" applyFont="1" applyBorder="1" applyAlignment="1">
      <alignment horizontal="right" vertical="center"/>
    </xf>
    <xf numFmtId="3" fontId="78" fillId="0" borderId="131" xfId="20" applyNumberFormat="1" applyFont="1" applyBorder="1" applyAlignment="1">
      <alignment horizontal="right" vertical="center" wrapText="1"/>
    </xf>
    <xf numFmtId="3" fontId="77" fillId="0" borderId="156" xfId="20" applyNumberFormat="1" applyFont="1" applyBorder="1" applyAlignment="1">
      <alignment horizontal="right" vertical="center"/>
    </xf>
    <xf numFmtId="3" fontId="77" fillId="0" borderId="157" xfId="20" applyNumberFormat="1" applyFont="1" applyBorder="1" applyAlignment="1">
      <alignment horizontal="right" vertical="center"/>
    </xf>
    <xf numFmtId="3" fontId="75" fillId="0" borderId="158" xfId="20" applyNumberFormat="1" applyFont="1" applyBorder="1" applyAlignment="1">
      <alignment horizontal="right" vertical="center"/>
    </xf>
    <xf numFmtId="3" fontId="75" fillId="0" borderId="159" xfId="20" applyNumberFormat="1" applyFont="1" applyBorder="1" applyAlignment="1">
      <alignment horizontal="right" vertical="center"/>
    </xf>
    <xf numFmtId="3" fontId="75" fillId="0" borderId="160" xfId="20" applyNumberFormat="1" applyFont="1" applyBorder="1" applyAlignment="1">
      <alignment horizontal="right" vertical="center"/>
    </xf>
    <xf numFmtId="3" fontId="75" fillId="0" borderId="161" xfId="20" applyNumberFormat="1" applyFont="1" applyBorder="1" applyAlignment="1">
      <alignment horizontal="right" vertical="center"/>
    </xf>
    <xf numFmtId="3" fontId="77" fillId="0" borderId="162" xfId="20" applyNumberFormat="1" applyFont="1" applyBorder="1" applyAlignment="1">
      <alignment horizontal="right" vertical="center"/>
    </xf>
    <xf numFmtId="3" fontId="79" fillId="0" borderId="99" xfId="20" applyNumberFormat="1" applyFont="1" applyBorder="1" applyAlignment="1">
      <alignment horizontal="right" vertical="center"/>
    </xf>
    <xf numFmtId="3" fontId="78" fillId="0" borderId="103" xfId="20" applyNumberFormat="1" applyFont="1" applyBorder="1" applyAlignment="1">
      <alignment horizontal="right" vertical="center" wrapText="1"/>
    </xf>
    <xf numFmtId="3" fontId="77" fillId="0" borderId="163" xfId="20" applyNumberFormat="1" applyFont="1" applyBorder="1" applyAlignment="1">
      <alignment horizontal="right" vertical="center" wrapText="1"/>
    </xf>
    <xf numFmtId="3" fontId="77" fillId="0" borderId="164" xfId="20" applyNumberFormat="1" applyFont="1" applyBorder="1" applyAlignment="1">
      <alignment horizontal="right" vertical="center" wrapText="1"/>
    </xf>
    <xf numFmtId="3" fontId="77" fillId="0" borderId="158" xfId="20" applyNumberFormat="1" applyFont="1" applyBorder="1" applyAlignment="1">
      <alignment horizontal="right" vertical="center" wrapText="1"/>
    </xf>
    <xf numFmtId="165" fontId="18" fillId="2" borderId="9" xfId="12" applyNumberFormat="1" applyFont="1" applyFill="1" applyBorder="1" applyAlignment="1">
      <alignment horizontal="right" vertical="center"/>
    </xf>
    <xf numFmtId="0" fontId="18" fillId="2" borderId="9" xfId="12" applyNumberFormat="1" applyFont="1" applyFill="1" applyBorder="1" applyAlignment="1">
      <alignment horizontal="right" vertical="center"/>
    </xf>
    <xf numFmtId="3" fontId="47" fillId="0" borderId="46" xfId="9" applyNumberFormat="1" applyFont="1" applyBorder="1" applyAlignment="1" applyProtection="1">
      <alignment horizontal="right" vertical="center" wrapText="1"/>
      <protection locked="0"/>
    </xf>
    <xf numFmtId="0" fontId="29" fillId="8" borderId="67" xfId="9" applyFont="1" applyFill="1" applyBorder="1" applyAlignment="1">
      <alignment horizontal="center" vertical="center"/>
    </xf>
    <xf numFmtId="49" fontId="44" fillId="8" borderId="36" xfId="9" applyNumberFormat="1" applyFont="1" applyFill="1" applyBorder="1" applyAlignment="1">
      <alignment horizontal="center" vertical="center"/>
    </xf>
    <xf numFmtId="49" fontId="42" fillId="8" borderId="46" xfId="9" applyNumberFormat="1" applyFont="1" applyFill="1" applyBorder="1" applyAlignment="1">
      <alignment horizontal="center" vertical="center"/>
    </xf>
    <xf numFmtId="3" fontId="42" fillId="8" borderId="9" xfId="9" applyNumberFormat="1" applyFont="1" applyFill="1" applyBorder="1" applyAlignment="1">
      <alignment horizontal="right" vertical="center" wrapText="1"/>
    </xf>
    <xf numFmtId="0" fontId="18" fillId="0" borderId="55" xfId="9" applyFont="1" applyBorder="1" applyAlignment="1">
      <alignment horizontal="center"/>
    </xf>
    <xf numFmtId="3" fontId="18" fillId="2" borderId="165" xfId="12" applyNumberFormat="1" applyFont="1" applyFill="1" applyBorder="1" applyAlignment="1">
      <alignment vertical="center"/>
    </xf>
    <xf numFmtId="3" fontId="18" fillId="2" borderId="166" xfId="12" applyNumberFormat="1" applyFont="1" applyFill="1" applyBorder="1" applyAlignment="1">
      <alignment vertical="center"/>
    </xf>
    <xf numFmtId="3" fontId="78" fillId="0" borderId="168" xfId="20" applyNumberFormat="1" applyFont="1" applyBorder="1" applyAlignment="1">
      <alignment horizontal="right" vertical="center" wrapText="1"/>
    </xf>
    <xf numFmtId="3" fontId="78" fillId="0" borderId="167" xfId="20" applyNumberFormat="1" applyFont="1" applyBorder="1" applyAlignment="1">
      <alignment horizontal="right" vertical="center" wrapText="1"/>
    </xf>
    <xf numFmtId="3" fontId="78" fillId="0" borderId="155" xfId="20" applyNumberFormat="1" applyFont="1" applyBorder="1" applyAlignment="1">
      <alignment horizontal="right" vertical="center"/>
    </xf>
    <xf numFmtId="3" fontId="76" fillId="0" borderId="103" xfId="20" applyNumberFormat="1" applyFont="1" applyBorder="1" applyAlignment="1">
      <alignment horizontal="right" vertical="center" wrapText="1"/>
    </xf>
    <xf numFmtId="0" fontId="29" fillId="2" borderId="8" xfId="12" applyFont="1" applyFill="1" applyBorder="1" applyAlignment="1">
      <alignment horizontal="center" vertical="center"/>
    </xf>
    <xf numFmtId="0" fontId="84" fillId="0" borderId="0" xfId="24" applyFont="1" applyAlignment="1">
      <alignment horizontal="center" vertical="center" wrapText="1"/>
    </xf>
    <xf numFmtId="0" fontId="82" fillId="0" borderId="0" xfId="24" applyFont="1" applyAlignment="1">
      <alignment horizontal="center" vertical="center"/>
    </xf>
    <xf numFmtId="0" fontId="82" fillId="0" borderId="0" xfId="24" applyFont="1" applyAlignment="1">
      <alignment horizontal="center"/>
    </xf>
    <xf numFmtId="3" fontId="88" fillId="0" borderId="174" xfId="24" applyNumberFormat="1" applyFont="1" applyBorder="1"/>
    <xf numFmtId="3" fontId="88" fillId="0" borderId="175" xfId="24" applyNumberFormat="1" applyFont="1" applyBorder="1"/>
    <xf numFmtId="0" fontId="78" fillId="13" borderId="174" xfId="24" applyFont="1" applyFill="1" applyBorder="1" applyAlignment="1">
      <alignment horizontal="center" vertical="center" wrapText="1"/>
    </xf>
    <xf numFmtId="0" fontId="78" fillId="0" borderId="174" xfId="24" applyFont="1" applyBorder="1" applyAlignment="1">
      <alignment horizontal="center" vertical="center" wrapText="1"/>
    </xf>
    <xf numFmtId="0" fontId="78" fillId="0" borderId="186" xfId="24" applyFont="1" applyBorder="1" applyAlignment="1">
      <alignment horizontal="center" vertical="center" wrapText="1"/>
    </xf>
    <xf numFmtId="0" fontId="78" fillId="13" borderId="187" xfId="24" applyFont="1" applyFill="1" applyBorder="1" applyAlignment="1">
      <alignment horizontal="center" vertical="center" wrapText="1"/>
    </xf>
    <xf numFmtId="0" fontId="78" fillId="13" borderId="99" xfId="24" applyFont="1" applyFill="1" applyBorder="1" applyAlignment="1">
      <alignment horizontal="center" vertical="center" wrapText="1"/>
    </xf>
    <xf numFmtId="0" fontId="1" fillId="0" borderId="0" xfId="24" applyFont="1"/>
    <xf numFmtId="0" fontId="90" fillId="0" borderId="133" xfId="24" applyFont="1" applyBorder="1" applyAlignment="1">
      <alignment vertical="center"/>
    </xf>
    <xf numFmtId="3" fontId="91" fillId="13" borderId="120" xfId="24" applyNumberFormat="1" applyFont="1" applyFill="1" applyBorder="1"/>
    <xf numFmtId="3" fontId="91" fillId="13" borderId="121" xfId="24" applyNumberFormat="1" applyFont="1" applyFill="1" applyBorder="1"/>
    <xf numFmtId="3" fontId="91" fillId="0" borderId="121" xfId="24" applyNumberFormat="1" applyFont="1" applyBorder="1" applyAlignment="1">
      <alignment vertical="center"/>
    </xf>
    <xf numFmtId="3" fontId="91" fillId="13" borderId="121" xfId="24" applyNumberFormat="1" applyFont="1" applyFill="1" applyBorder="1" applyAlignment="1">
      <alignment vertical="center"/>
    </xf>
    <xf numFmtId="3" fontId="91" fillId="13" borderId="122" xfId="24" applyNumberFormat="1" applyFont="1" applyFill="1" applyBorder="1" applyAlignment="1">
      <alignment vertical="center"/>
    </xf>
    <xf numFmtId="0" fontId="92" fillId="0" borderId="0" xfId="24" applyFont="1"/>
    <xf numFmtId="3" fontId="91" fillId="13" borderId="134" xfId="24" applyNumberFormat="1" applyFont="1" applyFill="1" applyBorder="1"/>
    <xf numFmtId="3" fontId="91" fillId="13" borderId="186" xfId="24" applyNumberFormat="1" applyFont="1" applyFill="1" applyBorder="1"/>
    <xf numFmtId="3" fontId="91" fillId="13" borderId="135" xfId="24" applyNumberFormat="1" applyFont="1" applyFill="1" applyBorder="1"/>
    <xf numFmtId="3" fontId="91" fillId="0" borderId="135" xfId="24" applyNumberFormat="1" applyFont="1" applyBorder="1" applyAlignment="1">
      <alignment vertical="center"/>
    </xf>
    <xf numFmtId="0" fontId="78" fillId="0" borderId="99" xfId="24" applyFont="1" applyBorder="1" applyAlignment="1">
      <alignment vertical="center"/>
    </xf>
    <xf numFmtId="0" fontId="78" fillId="13" borderId="189" xfId="24" applyFont="1" applyFill="1" applyBorder="1" applyAlignment="1">
      <alignment horizontal="center" vertical="center" wrapText="1"/>
    </xf>
    <xf numFmtId="0" fontId="78" fillId="13" borderId="177" xfId="24" applyFont="1" applyFill="1" applyBorder="1" applyAlignment="1">
      <alignment horizontal="center" vertical="center" wrapText="1"/>
    </xf>
    <xf numFmtId="0" fontId="78" fillId="0" borderId="190" xfId="24" applyFont="1" applyBorder="1" applyAlignment="1">
      <alignment horizontal="center" vertical="center" wrapText="1"/>
    </xf>
    <xf numFmtId="3" fontId="91" fillId="0" borderId="174" xfId="24" applyNumberFormat="1" applyFont="1" applyBorder="1" applyAlignment="1">
      <alignment vertical="center"/>
    </xf>
    <xf numFmtId="3" fontId="91" fillId="13" borderId="195" xfId="24" applyNumberFormat="1" applyFont="1" applyFill="1" applyBorder="1" applyAlignment="1">
      <alignment vertical="center"/>
    </xf>
    <xf numFmtId="0" fontId="75" fillId="0" borderId="99" xfId="24" applyFont="1" applyBorder="1" applyAlignment="1">
      <alignment vertical="center"/>
    </xf>
    <xf numFmtId="3" fontId="75" fillId="13" borderId="141" xfId="24" applyNumberFormat="1" applyFont="1" applyFill="1" applyBorder="1"/>
    <xf numFmtId="3" fontId="89" fillId="0" borderId="175" xfId="24" applyNumberFormat="1" applyFont="1" applyBorder="1" applyAlignment="1">
      <alignment vertical="center"/>
    </xf>
    <xf numFmtId="3" fontId="74" fillId="0" borderId="175" xfId="24" applyNumberFormat="1" applyFont="1" applyBorder="1" applyAlignment="1">
      <alignment vertical="center"/>
    </xf>
    <xf numFmtId="4" fontId="89" fillId="0" borderId="175" xfId="24" applyNumberFormat="1" applyFont="1" applyBorder="1" applyAlignment="1">
      <alignment vertical="center"/>
    </xf>
    <xf numFmtId="0" fontId="91" fillId="0" borderId="0" xfId="24" applyFont="1" applyAlignment="1">
      <alignment vertical="center"/>
    </xf>
    <xf numFmtId="0" fontId="92" fillId="0" borderId="0" xfId="24" applyFont="1" applyAlignment="1">
      <alignment vertical="center"/>
    </xf>
    <xf numFmtId="0" fontId="90" fillId="13" borderId="99" xfId="24" applyFont="1" applyFill="1" applyBorder="1" applyAlignment="1">
      <alignment horizontal="center" vertical="center" wrapText="1"/>
    </xf>
    <xf numFmtId="0" fontId="90" fillId="13" borderId="131" xfId="24" applyFont="1" applyFill="1" applyBorder="1" applyAlignment="1">
      <alignment horizontal="center" vertical="center" wrapText="1"/>
    </xf>
    <xf numFmtId="0" fontId="90" fillId="0" borderId="132" xfId="24" applyFont="1" applyBorder="1" applyAlignment="1">
      <alignment vertical="center"/>
    </xf>
    <xf numFmtId="0" fontId="91" fillId="11" borderId="120" xfId="24" applyFont="1" applyFill="1" applyBorder="1" applyAlignment="1">
      <alignment vertical="center"/>
    </xf>
    <xf numFmtId="0" fontId="91" fillId="11" borderId="134" xfId="24" applyFont="1" applyFill="1" applyBorder="1" applyAlignment="1">
      <alignment vertical="center"/>
    </xf>
    <xf numFmtId="3" fontId="90" fillId="13" borderId="135" xfId="24" applyNumberFormat="1" applyFont="1" applyFill="1" applyBorder="1" applyAlignment="1">
      <alignment vertical="center"/>
    </xf>
    <xf numFmtId="3" fontId="90" fillId="13" borderId="174" xfId="24" applyNumberFormat="1" applyFont="1" applyFill="1" applyBorder="1" applyAlignment="1">
      <alignment vertical="center"/>
    </xf>
    <xf numFmtId="3" fontId="91" fillId="13" borderId="136" xfId="24" applyNumberFormat="1" applyFont="1" applyFill="1" applyBorder="1" applyAlignment="1">
      <alignment vertical="center"/>
    </xf>
    <xf numFmtId="3" fontId="90" fillId="13" borderId="121" xfId="24" applyNumberFormat="1" applyFont="1" applyFill="1" applyBorder="1" applyAlignment="1">
      <alignment vertical="center"/>
    </xf>
    <xf numFmtId="0" fontId="93" fillId="0" borderId="133" xfId="24" applyFont="1" applyBorder="1" applyAlignment="1">
      <alignment vertical="center"/>
    </xf>
    <xf numFmtId="3" fontId="91" fillId="13" borderId="135" xfId="24" applyNumberFormat="1" applyFont="1" applyFill="1" applyBorder="1" applyAlignment="1">
      <alignment vertical="center"/>
    </xf>
    <xf numFmtId="3" fontId="91" fillId="13" borderId="174" xfId="24" applyNumberFormat="1" applyFont="1" applyFill="1" applyBorder="1" applyAlignment="1">
      <alignment vertical="center"/>
    </xf>
    <xf numFmtId="0" fontId="90" fillId="0" borderId="133" xfId="24" applyFont="1" applyBorder="1" applyAlignment="1">
      <alignment vertical="center" wrapText="1"/>
    </xf>
    <xf numFmtId="0" fontId="90" fillId="11" borderId="134" xfId="24" applyFont="1" applyFill="1" applyBorder="1" applyAlignment="1">
      <alignment vertical="center"/>
    </xf>
    <xf numFmtId="3" fontId="90" fillId="0" borderId="135" xfId="24" applyNumberFormat="1" applyFont="1" applyBorder="1" applyAlignment="1">
      <alignment vertical="center"/>
    </xf>
    <xf numFmtId="3" fontId="90" fillId="13" borderId="136" xfId="24" applyNumberFormat="1" applyFont="1" applyFill="1" applyBorder="1" applyAlignment="1">
      <alignment vertical="center"/>
    </xf>
    <xf numFmtId="0" fontId="90" fillId="0" borderId="0" xfId="24" applyFont="1" applyAlignment="1">
      <alignment vertical="center"/>
    </xf>
    <xf numFmtId="0" fontId="94" fillId="0" borderId="0" xfId="24" applyFont="1" applyAlignment="1">
      <alignment vertical="center"/>
    </xf>
    <xf numFmtId="0" fontId="93" fillId="0" borderId="133" xfId="24" applyFont="1" applyBorder="1" applyAlignment="1">
      <alignment horizontal="left" vertical="center" indent="2"/>
    </xf>
    <xf numFmtId="0" fontId="90" fillId="0" borderId="137" xfId="24" applyFont="1" applyBorder="1" applyAlignment="1">
      <alignment vertical="center"/>
    </xf>
    <xf numFmtId="0" fontId="80" fillId="0" borderId="86" xfId="24" applyFont="1" applyBorder="1" applyAlignment="1">
      <alignment vertical="center"/>
    </xf>
    <xf numFmtId="0" fontId="80" fillId="0" borderId="0" xfId="24" applyFont="1" applyAlignment="1">
      <alignment vertical="center"/>
    </xf>
    <xf numFmtId="3" fontId="90" fillId="0" borderId="174" xfId="24" applyNumberFormat="1" applyFont="1" applyBorder="1" applyAlignment="1">
      <alignment vertical="center"/>
    </xf>
    <xf numFmtId="3" fontId="89" fillId="0" borderId="0" xfId="24" applyNumberFormat="1" applyFont="1" applyBorder="1" applyAlignment="1">
      <alignment vertical="center"/>
    </xf>
    <xf numFmtId="0" fontId="90" fillId="0" borderId="99" xfId="24" applyFont="1" applyBorder="1" applyAlignment="1">
      <alignment horizontal="center" vertical="center" wrapText="1"/>
    </xf>
    <xf numFmtId="3" fontId="90" fillId="0" borderId="121" xfId="24" applyNumberFormat="1" applyFont="1" applyBorder="1" applyAlignment="1">
      <alignment vertical="center"/>
    </xf>
    <xf numFmtId="3" fontId="95" fillId="13" borderId="90" xfId="24" applyNumberFormat="1" applyFont="1" applyFill="1" applyBorder="1" applyAlignment="1">
      <alignment vertical="center"/>
    </xf>
    <xf numFmtId="0" fontId="78" fillId="12" borderId="0" xfId="20" applyFont="1" applyFill="1" applyBorder="1" applyAlignment="1">
      <alignment horizontal="center" vertical="center"/>
    </xf>
    <xf numFmtId="0" fontId="78" fillId="13" borderId="0" xfId="20" applyFont="1" applyFill="1" applyBorder="1" applyAlignment="1">
      <alignment horizontal="center" vertical="center" wrapText="1"/>
    </xf>
    <xf numFmtId="0" fontId="75" fillId="13" borderId="0" xfId="20" applyFont="1" applyFill="1" applyBorder="1" applyAlignment="1">
      <alignment horizontal="right" vertical="center" wrapText="1"/>
    </xf>
    <xf numFmtId="0" fontId="77" fillId="0" borderId="0" xfId="20" applyFont="1" applyBorder="1" applyAlignment="1">
      <alignment horizontal="right" vertical="center"/>
    </xf>
    <xf numFmtId="0" fontId="3" fillId="0" borderId="0" xfId="20" applyBorder="1" applyAlignment="1">
      <alignment horizontal="right" vertical="center"/>
    </xf>
    <xf numFmtId="3" fontId="75" fillId="0" borderId="201" xfId="20" applyNumberFormat="1" applyFont="1" applyBorder="1" applyAlignment="1">
      <alignment horizontal="right" vertical="center"/>
    </xf>
    <xf numFmtId="3" fontId="77" fillId="0" borderId="202" xfId="20" applyNumberFormat="1" applyFont="1" applyBorder="1" applyAlignment="1">
      <alignment horizontal="right" vertical="center"/>
    </xf>
    <xf numFmtId="3" fontId="77" fillId="0" borderId="132" xfId="20" applyNumberFormat="1" applyFont="1" applyBorder="1" applyAlignment="1">
      <alignment horizontal="right" vertical="center"/>
    </xf>
    <xf numFmtId="3" fontId="77" fillId="0" borderId="203" xfId="20" applyNumberFormat="1" applyFont="1" applyBorder="1" applyAlignment="1">
      <alignment horizontal="right" vertical="center"/>
    </xf>
    <xf numFmtId="0" fontId="88" fillId="0" borderId="0" xfId="20" applyFont="1" applyAlignment="1">
      <alignment vertical="center"/>
    </xf>
    <xf numFmtId="3" fontId="88" fillId="0" borderId="0" xfId="20" applyNumberFormat="1" applyFont="1" applyAlignment="1">
      <alignment horizontal="right" vertical="center"/>
    </xf>
    <xf numFmtId="0" fontId="88" fillId="0" borderId="0" xfId="20" applyFont="1" applyAlignment="1">
      <alignment horizontal="right" vertical="center"/>
    </xf>
    <xf numFmtId="0" fontId="89" fillId="0" borderId="0" xfId="20" applyFont="1" applyAlignment="1">
      <alignment vertical="center"/>
    </xf>
    <xf numFmtId="0" fontId="89" fillId="0" borderId="0" xfId="20" applyFont="1" applyAlignment="1">
      <alignment horizontal="right" vertical="center"/>
    </xf>
    <xf numFmtId="3" fontId="89" fillId="0" borderId="0" xfId="20" applyNumberFormat="1" applyFont="1" applyAlignment="1">
      <alignment horizontal="right" vertical="center"/>
    </xf>
    <xf numFmtId="0" fontId="74" fillId="0" borderId="0" xfId="20" applyFont="1" applyAlignment="1">
      <alignment vertical="center"/>
    </xf>
    <xf numFmtId="0" fontId="74" fillId="0" borderId="0" xfId="20" applyFont="1" applyAlignment="1">
      <alignment horizontal="right" vertical="center"/>
    </xf>
    <xf numFmtId="3" fontId="74" fillId="0" borderId="0" xfId="20" applyNumberFormat="1" applyFont="1" applyAlignment="1">
      <alignment horizontal="right" vertical="center"/>
    </xf>
    <xf numFmtId="3" fontId="64" fillId="0" borderId="36" xfId="0" applyNumberFormat="1" applyFont="1" applyFill="1" applyBorder="1" applyAlignment="1">
      <alignment horizontal="right" vertical="center" wrapText="1"/>
    </xf>
    <xf numFmtId="3" fontId="64" fillId="0" borderId="77" xfId="0" applyNumberFormat="1" applyFont="1" applyFill="1" applyBorder="1" applyAlignment="1">
      <alignment horizontal="right" vertical="center" wrapText="1"/>
    </xf>
    <xf numFmtId="165" fontId="96" fillId="0" borderId="0" xfId="0" applyNumberFormat="1" applyFont="1" applyFill="1" applyAlignment="1">
      <alignment horizontal="left" vertical="center" wrapText="1"/>
    </xf>
    <xf numFmtId="3" fontId="64" fillId="0" borderId="205" xfId="0" applyNumberFormat="1" applyFont="1" applyFill="1" applyBorder="1" applyAlignment="1">
      <alignment horizontal="right" vertical="center" wrapText="1"/>
    </xf>
    <xf numFmtId="165" fontId="26" fillId="0" borderId="204" xfId="0" applyNumberFormat="1" applyFont="1" applyFill="1" applyBorder="1" applyAlignment="1">
      <alignment horizontal="left" vertical="center" wrapText="1"/>
    </xf>
    <xf numFmtId="165" fontId="0" fillId="0" borderId="204" xfId="0" applyNumberFormat="1" applyFill="1" applyBorder="1" applyAlignment="1">
      <alignment vertical="center" wrapText="1"/>
    </xf>
    <xf numFmtId="165" fontId="0" fillId="0" borderId="204" xfId="0" applyNumberFormat="1" applyFill="1" applyBorder="1" applyAlignment="1">
      <alignment horizontal="center" vertical="center" wrapText="1"/>
    </xf>
    <xf numFmtId="165" fontId="64" fillId="0" borderId="206" xfId="0" applyNumberFormat="1" applyFont="1" applyFill="1" applyBorder="1" applyAlignment="1">
      <alignment horizontal="left" vertical="center" wrapText="1"/>
    </xf>
    <xf numFmtId="165" fontId="0" fillId="0" borderId="207" xfId="0" applyNumberFormat="1" applyFill="1" applyBorder="1" applyAlignment="1">
      <alignment horizontal="center" vertical="center" wrapText="1"/>
    </xf>
    <xf numFmtId="165" fontId="0" fillId="0" borderId="208" xfId="0" applyNumberFormat="1" applyFill="1" applyBorder="1" applyAlignment="1">
      <alignment vertical="center" wrapText="1"/>
    </xf>
    <xf numFmtId="165" fontId="26" fillId="0" borderId="208" xfId="0" applyNumberFormat="1" applyFont="1" applyFill="1" applyBorder="1" applyAlignment="1">
      <alignment horizontal="left" vertical="center" wrapText="1"/>
    </xf>
    <xf numFmtId="165" fontId="0" fillId="0" borderId="208" xfId="0" applyNumberFormat="1" applyFill="1" applyBorder="1" applyAlignment="1">
      <alignment horizontal="center" vertical="center" wrapText="1"/>
    </xf>
    <xf numFmtId="165" fontId="27" fillId="0" borderId="209" xfId="0" applyNumberFormat="1" applyFont="1" applyFill="1" applyBorder="1" applyAlignment="1">
      <alignment horizontal="left" vertical="center" wrapText="1"/>
    </xf>
    <xf numFmtId="165" fontId="0" fillId="0" borderId="210" xfId="0" applyNumberFormat="1" applyFill="1" applyBorder="1" applyAlignment="1">
      <alignment vertical="center" wrapText="1"/>
    </xf>
    <xf numFmtId="165" fontId="27" fillId="0" borderId="211" xfId="0" applyNumberFormat="1" applyFont="1" applyFill="1" applyBorder="1" applyAlignment="1">
      <alignment horizontal="left" vertical="center" wrapText="1"/>
    </xf>
    <xf numFmtId="165" fontId="12" fillId="0" borderId="212" xfId="0" applyNumberFormat="1" applyFont="1" applyFill="1" applyBorder="1" applyAlignment="1" applyProtection="1">
      <alignment vertical="center" wrapText="1"/>
    </xf>
    <xf numFmtId="165" fontId="12" fillId="0" borderId="213" xfId="0" applyNumberFormat="1" applyFont="1" applyFill="1" applyBorder="1" applyAlignment="1" applyProtection="1">
      <alignment vertical="center" wrapText="1"/>
    </xf>
    <xf numFmtId="165" fontId="27" fillId="0" borderId="214" xfId="0" applyNumberFormat="1" applyFont="1" applyFill="1" applyBorder="1" applyAlignment="1">
      <alignment horizontal="left" vertical="center" wrapText="1"/>
    </xf>
    <xf numFmtId="165" fontId="12" fillId="0" borderId="215" xfId="0" applyNumberFormat="1" applyFont="1" applyFill="1" applyBorder="1" applyAlignment="1" applyProtection="1">
      <alignment vertical="center" wrapText="1"/>
    </xf>
    <xf numFmtId="165" fontId="12" fillId="0" borderId="216" xfId="0" applyNumberFormat="1" applyFont="1" applyFill="1" applyBorder="1" applyAlignment="1" applyProtection="1">
      <alignment vertical="center" wrapText="1"/>
    </xf>
    <xf numFmtId="165" fontId="27" fillId="0" borderId="217" xfId="0" applyNumberFormat="1" applyFont="1" applyFill="1" applyBorder="1" applyAlignment="1">
      <alignment horizontal="left" vertical="center" wrapText="1"/>
    </xf>
    <xf numFmtId="3" fontId="64" fillId="0" borderId="218" xfId="0" applyNumberFormat="1" applyFont="1" applyFill="1" applyBorder="1" applyAlignment="1">
      <alignment horizontal="right" vertical="center" wrapText="1"/>
    </xf>
    <xf numFmtId="165" fontId="26" fillId="0" borderId="219" xfId="0" applyNumberFormat="1" applyFont="1" applyFill="1" applyBorder="1" applyAlignment="1">
      <alignment horizontal="left" vertical="center" wrapText="1"/>
    </xf>
    <xf numFmtId="3" fontId="67" fillId="0" borderId="7" xfId="19" applyNumberFormat="1" applyFont="1" applyFill="1" applyBorder="1" applyAlignment="1" applyProtection="1">
      <alignment horizontal="right" vertical="center" wrapText="1"/>
      <protection locked="0"/>
    </xf>
    <xf numFmtId="0" fontId="67" fillId="0" borderId="9" xfId="19" applyFont="1" applyFill="1" applyBorder="1" applyAlignment="1" applyProtection="1">
      <alignment horizontal="left" vertical="center" wrapText="1" indent="1"/>
    </xf>
    <xf numFmtId="165" fontId="67" fillId="0" borderId="21" xfId="0" applyNumberFormat="1" applyFont="1" applyFill="1" applyBorder="1" applyAlignment="1" applyProtection="1">
      <alignment vertical="center" wrapText="1"/>
      <protection locked="0"/>
    </xf>
    <xf numFmtId="3" fontId="67" fillId="0" borderId="28" xfId="19" applyNumberFormat="1" applyFont="1" applyFill="1" applyBorder="1" applyAlignment="1" applyProtection="1">
      <alignment horizontal="right" vertical="center" wrapText="1"/>
      <protection locked="0"/>
    </xf>
    <xf numFmtId="0" fontId="77" fillId="0" borderId="220" xfId="20" applyFont="1" applyBorder="1" applyAlignment="1">
      <alignment horizontal="left" vertical="center" wrapText="1"/>
    </xf>
    <xf numFmtId="3" fontId="77" fillId="0" borderId="221" xfId="20" applyNumberFormat="1" applyFont="1" applyBorder="1" applyAlignment="1">
      <alignment horizontal="right" vertical="center"/>
    </xf>
    <xf numFmtId="3" fontId="77" fillId="0" borderId="221" xfId="20" applyNumberFormat="1" applyFont="1" applyBorder="1" applyAlignment="1">
      <alignment horizontal="right" vertical="center" wrapText="1"/>
    </xf>
    <xf numFmtId="3" fontId="77" fillId="0" borderId="222" xfId="20" applyNumberFormat="1" applyFont="1" applyBorder="1" applyAlignment="1">
      <alignment horizontal="right" vertical="center" wrapText="1"/>
    </xf>
    <xf numFmtId="0" fontId="76" fillId="0" borderId="0" xfId="20" applyFont="1" applyBorder="1" applyAlignment="1">
      <alignment horizontal="left" vertical="center" wrapText="1"/>
    </xf>
    <xf numFmtId="3" fontId="78" fillId="0" borderId="223" xfId="20" applyNumberFormat="1" applyFont="1" applyBorder="1" applyAlignment="1">
      <alignment horizontal="right" vertical="center" wrapText="1"/>
    </xf>
    <xf numFmtId="0" fontId="75" fillId="0" borderId="202" xfId="20" applyFont="1" applyBorder="1" applyAlignment="1">
      <alignment horizontal="center" vertical="center" wrapText="1"/>
    </xf>
    <xf numFmtId="0" fontId="75" fillId="0" borderId="224" xfId="20" applyFont="1" applyBorder="1" applyAlignment="1">
      <alignment horizontal="center" vertical="center" wrapText="1"/>
    </xf>
    <xf numFmtId="3" fontId="77" fillId="0" borderId="224" xfId="20" applyNumberFormat="1" applyFont="1" applyBorder="1" applyAlignment="1">
      <alignment horizontal="right" vertical="center"/>
    </xf>
    <xf numFmtId="0" fontId="77" fillId="0" borderId="225" xfId="20" applyFont="1" applyBorder="1" applyAlignment="1">
      <alignment horizontal="left" vertical="center" wrapText="1"/>
    </xf>
    <xf numFmtId="0" fontId="77" fillId="0" borderId="224" xfId="20" applyFont="1" applyBorder="1" applyAlignment="1">
      <alignment horizontal="center" vertical="center"/>
    </xf>
    <xf numFmtId="0" fontId="77" fillId="0" borderId="225" xfId="20" applyFont="1" applyBorder="1" applyAlignment="1">
      <alignment vertical="center"/>
    </xf>
    <xf numFmtId="0" fontId="74" fillId="12" borderId="85" xfId="20" applyFont="1" applyFill="1" applyBorder="1" applyAlignment="1">
      <alignment vertical="center"/>
    </xf>
    <xf numFmtId="0" fontId="74" fillId="12" borderId="87" xfId="20" applyFont="1" applyFill="1" applyBorder="1" applyAlignment="1">
      <alignment vertical="center"/>
    </xf>
    <xf numFmtId="0" fontId="75" fillId="12" borderId="99" xfId="20" applyFont="1" applyFill="1" applyBorder="1" applyAlignment="1">
      <alignment horizontal="right" vertical="center"/>
    </xf>
    <xf numFmtId="0" fontId="75" fillId="0" borderId="226" xfId="20" applyFont="1" applyFill="1" applyBorder="1" applyAlignment="1">
      <alignment horizontal="left" vertical="center" wrapText="1"/>
    </xf>
    <xf numFmtId="3" fontId="77" fillId="0" borderId="227" xfId="20" applyNumberFormat="1" applyFont="1" applyBorder="1" applyAlignment="1">
      <alignment horizontal="right" vertical="center"/>
    </xf>
    <xf numFmtId="3" fontId="77" fillId="0" borderId="228" xfId="20" applyNumberFormat="1" applyFont="1" applyBorder="1" applyAlignment="1">
      <alignment horizontal="right" vertical="center"/>
    </xf>
    <xf numFmtId="3" fontId="75" fillId="0" borderId="229" xfId="20" applyNumberFormat="1" applyFont="1" applyBorder="1" applyAlignment="1">
      <alignment horizontal="right" vertical="center"/>
    </xf>
    <xf numFmtId="3" fontId="91" fillId="13" borderId="230" xfId="24" applyNumberFormat="1" applyFont="1" applyFill="1" applyBorder="1"/>
    <xf numFmtId="3" fontId="91" fillId="13" borderId="231" xfId="24" applyNumberFormat="1" applyFont="1" applyFill="1" applyBorder="1"/>
    <xf numFmtId="3" fontId="91" fillId="0" borderId="231" xfId="24" applyNumberFormat="1" applyFont="1" applyBorder="1" applyAlignment="1">
      <alignment vertical="center"/>
    </xf>
    <xf numFmtId="0" fontId="80" fillId="0" borderId="0" xfId="24" applyFont="1"/>
    <xf numFmtId="0" fontId="88" fillId="0" borderId="0" xfId="24" applyFont="1" applyAlignment="1">
      <alignment horizontal="center" vertical="center" wrapText="1"/>
    </xf>
    <xf numFmtId="0" fontId="97" fillId="0" borderId="0" xfId="24" applyFont="1" applyAlignment="1">
      <alignment horizontal="left"/>
    </xf>
    <xf numFmtId="3" fontId="77" fillId="0" borderId="0" xfId="24" applyNumberFormat="1" applyFont="1"/>
    <xf numFmtId="3" fontId="77" fillId="0" borderId="0" xfId="24" applyNumberFormat="1" applyFont="1" applyAlignment="1">
      <alignment vertical="center"/>
    </xf>
    <xf numFmtId="0" fontId="77" fillId="0" borderId="0" xfId="24" applyFont="1" applyAlignment="1">
      <alignment horizontal="center" vertical="center" wrapText="1"/>
    </xf>
    <xf numFmtId="3" fontId="1" fillId="13" borderId="135" xfId="24" applyNumberFormat="1" applyFill="1" applyBorder="1"/>
    <xf numFmtId="3" fontId="1" fillId="13" borderId="139" xfId="24" applyNumberFormat="1" applyFill="1" applyBorder="1"/>
    <xf numFmtId="3" fontId="1" fillId="13" borderId="180" xfId="24" applyNumberFormat="1" applyFill="1" applyBorder="1"/>
    <xf numFmtId="0" fontId="1" fillId="13" borderId="148" xfId="24" applyFill="1" applyBorder="1"/>
    <xf numFmtId="3" fontId="74" fillId="16" borderId="153" xfId="24" applyNumberFormat="1" applyFont="1" applyFill="1" applyBorder="1"/>
    <xf numFmtId="3" fontId="74" fillId="16" borderId="154" xfId="24" applyNumberFormat="1" applyFont="1" applyFill="1" applyBorder="1"/>
    <xf numFmtId="0" fontId="78" fillId="0" borderId="190" xfId="24" applyFont="1" applyBorder="1" applyAlignment="1">
      <alignment horizontal="center" vertical="center" wrapText="1"/>
    </xf>
    <xf numFmtId="3" fontId="77" fillId="0" borderId="0" xfId="24" applyNumberFormat="1" applyFont="1" applyBorder="1"/>
    <xf numFmtId="3" fontId="77" fillId="0" borderId="234" xfId="24" applyNumberFormat="1" applyFont="1" applyBorder="1"/>
    <xf numFmtId="3" fontId="77" fillId="0" borderId="0" xfId="24" applyNumberFormat="1" applyFont="1" applyBorder="1" applyAlignment="1">
      <alignment vertical="center"/>
    </xf>
    <xf numFmtId="3" fontId="77" fillId="0" borderId="234" xfId="24" applyNumberFormat="1" applyFont="1" applyBorder="1" applyAlignment="1">
      <alignment vertical="center"/>
    </xf>
    <xf numFmtId="3" fontId="91" fillId="0" borderId="238" xfId="24" applyNumberFormat="1" applyFont="1" applyBorder="1" applyAlignment="1">
      <alignment vertical="center"/>
    </xf>
    <xf numFmtId="3" fontId="90" fillId="0" borderId="238" xfId="24" applyNumberFormat="1" applyFont="1" applyBorder="1" applyAlignment="1">
      <alignment vertical="center"/>
    </xf>
    <xf numFmtId="3" fontId="91" fillId="13" borderId="243" xfId="24" applyNumberFormat="1" applyFont="1" applyFill="1" applyBorder="1"/>
    <xf numFmtId="3" fontId="91" fillId="13" borderId="239" xfId="24" applyNumberFormat="1" applyFont="1" applyFill="1" applyBorder="1"/>
    <xf numFmtId="3" fontId="91" fillId="0" borderId="239" xfId="24" applyNumberFormat="1" applyFont="1" applyBorder="1" applyAlignment="1">
      <alignment vertical="center"/>
    </xf>
    <xf numFmtId="3" fontId="91" fillId="0" borderId="183" xfId="24" applyNumberFormat="1" applyFont="1" applyBorder="1" applyAlignment="1">
      <alignment vertical="center"/>
    </xf>
    <xf numFmtId="0" fontId="94" fillId="11" borderId="134" xfId="24" applyFont="1" applyFill="1" applyBorder="1" applyAlignment="1">
      <alignment vertical="center"/>
    </xf>
    <xf numFmtId="3" fontId="94" fillId="13" borderId="135" xfId="24" applyNumberFormat="1" applyFont="1" applyFill="1" applyBorder="1" applyAlignment="1">
      <alignment vertical="center"/>
    </xf>
    <xf numFmtId="3" fontId="94" fillId="13" borderId="174" xfId="24" applyNumberFormat="1" applyFont="1" applyFill="1" applyBorder="1" applyAlignment="1">
      <alignment vertical="center"/>
    </xf>
    <xf numFmtId="3" fontId="94" fillId="0" borderId="135" xfId="24" applyNumberFormat="1" applyFont="1" applyBorder="1" applyAlignment="1">
      <alignment vertical="center"/>
    </xf>
    <xf numFmtId="3" fontId="94" fillId="0" borderId="174" xfId="24" applyNumberFormat="1" applyFont="1" applyBorder="1" applyAlignment="1">
      <alignment vertical="center"/>
    </xf>
    <xf numFmtId="3" fontId="94" fillId="0" borderId="238" xfId="24" applyNumberFormat="1" applyFont="1" applyBorder="1" applyAlignment="1">
      <alignment vertical="center"/>
    </xf>
    <xf numFmtId="3" fontId="94" fillId="0" borderId="121" xfId="24" applyNumberFormat="1" applyFont="1" applyBorder="1" applyAlignment="1">
      <alignment vertical="center"/>
    </xf>
    <xf numFmtId="0" fontId="94" fillId="11" borderId="138" xfId="24" applyFont="1" applyFill="1" applyBorder="1" applyAlignment="1">
      <alignment vertical="center"/>
    </xf>
    <xf numFmtId="3" fontId="94" fillId="13" borderId="139" xfId="24" applyNumberFormat="1" applyFont="1" applyFill="1" applyBorder="1" applyAlignment="1">
      <alignment vertical="center"/>
    </xf>
    <xf numFmtId="3" fontId="94" fillId="13" borderId="175" xfId="24" applyNumberFormat="1" applyFont="1" applyFill="1" applyBorder="1" applyAlignment="1">
      <alignment vertical="center"/>
    </xf>
    <xf numFmtId="3" fontId="94" fillId="0" borderId="139" xfId="24" applyNumberFormat="1" applyFont="1" applyBorder="1" applyAlignment="1">
      <alignment vertical="center"/>
    </xf>
    <xf numFmtId="3" fontId="94" fillId="0" borderId="175" xfId="24" applyNumberFormat="1" applyFont="1" applyBorder="1" applyAlignment="1">
      <alignment vertical="center"/>
    </xf>
    <xf numFmtId="3" fontId="94" fillId="0" borderId="239" xfId="24" applyNumberFormat="1" applyFont="1" applyBorder="1" applyAlignment="1">
      <alignment vertical="center"/>
    </xf>
    <xf numFmtId="0" fontId="94" fillId="11" borderId="140" xfId="24" applyFont="1" applyFill="1" applyBorder="1" applyAlignment="1">
      <alignment vertical="center"/>
    </xf>
    <xf numFmtId="0" fontId="94" fillId="11" borderId="0" xfId="24" applyFont="1" applyFill="1" applyBorder="1" applyAlignment="1">
      <alignment vertical="center"/>
    </xf>
    <xf numFmtId="0" fontId="40" fillId="0" borderId="244" xfId="9" applyFont="1" applyBorder="1"/>
    <xf numFmtId="0" fontId="40" fillId="0" borderId="245" xfId="9" applyFont="1" applyBorder="1"/>
    <xf numFmtId="49" fontId="44" fillId="0" borderId="245" xfId="9" applyNumberFormat="1" applyFont="1" applyBorder="1"/>
    <xf numFmtId="0" fontId="44" fillId="0" borderId="246" xfId="9" applyFont="1" applyBorder="1" applyAlignment="1">
      <alignment horizontal="left" indent="6"/>
    </xf>
    <xf numFmtId="3" fontId="44" fillId="0" borderId="246" xfId="9" applyNumberFormat="1" applyFont="1" applyFill="1" applyBorder="1"/>
    <xf numFmtId="3" fontId="44" fillId="0" borderId="246" xfId="9" applyNumberFormat="1" applyFont="1" applyBorder="1"/>
    <xf numFmtId="0" fontId="54" fillId="0" borderId="9" xfId="10" applyFont="1" applyBorder="1" applyAlignment="1">
      <alignment horizontal="right" wrapText="1"/>
    </xf>
    <xf numFmtId="0" fontId="29" fillId="0" borderId="235" xfId="0" applyFont="1" applyBorder="1" applyAlignment="1" applyProtection="1">
      <alignment horizontal="center" vertical="center" wrapText="1"/>
    </xf>
    <xf numFmtId="0" fontId="31" fillId="0" borderId="232" xfId="0" applyFont="1" applyBorder="1" applyAlignment="1" applyProtection="1">
      <alignment horizontal="center" wrapText="1"/>
    </xf>
    <xf numFmtId="0" fontId="11" fillId="0" borderId="232" xfId="19" applyFont="1" applyFill="1" applyBorder="1" applyAlignment="1" applyProtection="1">
      <alignment horizontal="left" vertical="center" wrapText="1" indent="1"/>
    </xf>
    <xf numFmtId="3" fontId="11" fillId="0" borderId="236" xfId="0" applyNumberFormat="1" applyFont="1" applyFill="1" applyBorder="1" applyAlignment="1" applyProtection="1">
      <alignment vertical="center" wrapText="1"/>
      <protection locked="0"/>
    </xf>
    <xf numFmtId="0" fontId="40" fillId="0" borderId="247" xfId="9" applyFont="1" applyBorder="1"/>
    <xf numFmtId="0" fontId="40" fillId="0" borderId="248" xfId="9" applyFont="1" applyBorder="1"/>
    <xf numFmtId="3" fontId="44" fillId="0" borderId="249" xfId="9" applyNumberFormat="1" applyFont="1" applyBorder="1"/>
    <xf numFmtId="165" fontId="12" fillId="0" borderId="0" xfId="0" applyNumberFormat="1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 wrapText="1"/>
    </xf>
    <xf numFmtId="165" fontId="26" fillId="0" borderId="0" xfId="0" applyNumberFormat="1" applyFont="1" applyFill="1" applyAlignment="1">
      <alignment vertical="center" wrapText="1"/>
    </xf>
    <xf numFmtId="165" fontId="26" fillId="0" borderId="0" xfId="0" applyNumberFormat="1" applyFont="1" applyFill="1" applyAlignment="1">
      <alignment horizontal="center" vertical="center" wrapText="1"/>
    </xf>
    <xf numFmtId="165" fontId="26" fillId="0" borderId="0" xfId="0" applyNumberFormat="1" applyFont="1" applyFill="1" applyAlignment="1" applyProtection="1">
      <alignment vertical="center" wrapText="1"/>
    </xf>
    <xf numFmtId="165" fontId="81" fillId="0" borderId="250" xfId="0" applyNumberFormat="1" applyFont="1" applyFill="1" applyBorder="1" applyAlignment="1">
      <alignment vertical="center" wrapText="1"/>
    </xf>
    <xf numFmtId="0" fontId="11" fillId="0" borderId="251" xfId="0" applyFont="1" applyFill="1" applyBorder="1" applyAlignment="1" applyProtection="1">
      <alignment horizontal="center" vertical="center" wrapText="1"/>
    </xf>
    <xf numFmtId="3" fontId="10" fillId="0" borderId="252" xfId="0" applyNumberFormat="1" applyFont="1" applyFill="1" applyBorder="1" applyAlignment="1" applyProtection="1">
      <alignment vertical="center" wrapText="1"/>
      <protection locked="0"/>
    </xf>
    <xf numFmtId="165" fontId="71" fillId="0" borderId="0" xfId="0" applyNumberFormat="1" applyFont="1" applyFill="1" applyAlignment="1">
      <alignment horizontal="center" vertical="center" wrapText="1"/>
    </xf>
    <xf numFmtId="3" fontId="71" fillId="0" borderId="0" xfId="0" applyNumberFormat="1" applyFont="1" applyFill="1" applyAlignment="1">
      <alignment vertical="center" wrapText="1"/>
    </xf>
    <xf numFmtId="0" fontId="29" fillId="0" borderId="253" xfId="9" applyFont="1" applyBorder="1"/>
    <xf numFmtId="49" fontId="29" fillId="0" borderId="254" xfId="9" applyNumberFormat="1" applyFont="1" applyBorder="1"/>
    <xf numFmtId="0" fontId="44" fillId="0" borderId="255" xfId="9" applyFont="1" applyFill="1" applyBorder="1" applyAlignment="1">
      <alignment vertical="center" wrapText="1"/>
    </xf>
    <xf numFmtId="3" fontId="44" fillId="0" borderId="255" xfId="9" applyNumberFormat="1" applyFont="1" applyBorder="1"/>
    <xf numFmtId="3" fontId="9" fillId="0" borderId="0" xfId="0" applyNumberFormat="1" applyFont="1" applyFill="1" applyAlignment="1">
      <alignment vertical="center" wrapText="1"/>
    </xf>
    <xf numFmtId="165" fontId="98" fillId="0" borderId="0" xfId="0" applyNumberFormat="1" applyFont="1" applyFill="1" applyAlignment="1">
      <alignment horizontal="center" vertical="center" wrapText="1"/>
    </xf>
    <xf numFmtId="3" fontId="64" fillId="0" borderId="0" xfId="0" applyNumberFormat="1" applyFont="1" applyFill="1" applyAlignment="1">
      <alignment vertical="center" wrapText="1"/>
    </xf>
    <xf numFmtId="0" fontId="75" fillId="0" borderId="256" xfId="20" applyFont="1" applyBorder="1" applyAlignment="1">
      <alignment horizontal="center" vertical="center" wrapText="1"/>
    </xf>
    <xf numFmtId="0" fontId="77" fillId="0" borderId="257" xfId="20" applyFont="1" applyBorder="1" applyAlignment="1">
      <alignment horizontal="left" vertical="center" wrapText="1"/>
    </xf>
    <xf numFmtId="3" fontId="77" fillId="0" borderId="256" xfId="20" applyNumberFormat="1" applyFont="1" applyBorder="1" applyAlignment="1">
      <alignment horizontal="right" vertical="center"/>
    </xf>
    <xf numFmtId="0" fontId="10" fillId="0" borderId="123" xfId="19" applyFont="1" applyFill="1" applyBorder="1" applyAlignment="1" applyProtection="1">
      <alignment horizontal="left" vertical="center" wrapText="1" indent="2"/>
    </xf>
    <xf numFmtId="3" fontId="10" fillId="0" borderId="124" xfId="19" applyNumberFormat="1" applyFont="1" applyFill="1" applyBorder="1" applyAlignment="1" applyProtection="1">
      <alignment horizontal="right" vertical="center" wrapText="1"/>
    </xf>
    <xf numFmtId="3" fontId="77" fillId="0" borderId="0" xfId="20" applyNumberFormat="1" applyFont="1" applyAlignment="1">
      <alignment vertical="center"/>
    </xf>
    <xf numFmtId="3" fontId="78" fillId="12" borderId="87" xfId="20" applyNumberFormat="1" applyFont="1" applyFill="1" applyBorder="1" applyAlignment="1">
      <alignment horizontal="right" vertical="center"/>
    </xf>
    <xf numFmtId="0" fontId="90" fillId="0" borderId="133" xfId="24" applyFont="1" applyFill="1" applyBorder="1" applyAlignment="1">
      <alignment vertical="center"/>
    </xf>
    <xf numFmtId="165" fontId="9" fillId="0" borderId="259" xfId="0" applyNumberFormat="1" applyFont="1" applyFill="1" applyBorder="1" applyAlignment="1" applyProtection="1">
      <alignment vertical="center" wrapText="1"/>
      <protection locked="0"/>
    </xf>
    <xf numFmtId="165" fontId="9" fillId="0" borderId="258" xfId="0" applyNumberFormat="1" applyFont="1" applyFill="1" applyBorder="1" applyAlignment="1" applyProtection="1">
      <alignment vertical="center" wrapText="1"/>
      <protection locked="0"/>
    </xf>
    <xf numFmtId="0" fontId="29" fillId="3" borderId="260" xfId="9" applyFont="1" applyFill="1" applyBorder="1" applyAlignment="1">
      <alignment horizontal="center" vertical="center"/>
    </xf>
    <xf numFmtId="0" fontId="44" fillId="3" borderId="261" xfId="9" applyFont="1" applyFill="1" applyBorder="1" applyAlignment="1">
      <alignment horizontal="left" vertical="center" wrapText="1"/>
    </xf>
    <xf numFmtId="3" fontId="44" fillId="3" borderId="261" xfId="9" applyNumberFormat="1" applyFont="1" applyFill="1" applyBorder="1" applyAlignment="1">
      <alignment horizontal="right" vertical="center" wrapText="1"/>
    </xf>
    <xf numFmtId="3" fontId="44" fillId="3" borderId="262" xfId="9" applyNumberFormat="1" applyFont="1" applyFill="1" applyBorder="1" applyAlignment="1">
      <alignment horizontal="right" vertical="center" wrapText="1"/>
    </xf>
    <xf numFmtId="49" fontId="42" fillId="0" borderId="46" xfId="9" applyNumberFormat="1" applyFont="1" applyBorder="1" applyAlignment="1">
      <alignment horizontal="left" vertical="center"/>
    </xf>
    <xf numFmtId="0" fontId="90" fillId="0" borderId="199" xfId="24" applyFont="1" applyFill="1" applyBorder="1" applyAlignment="1">
      <alignment vertical="center"/>
    </xf>
    <xf numFmtId="0" fontId="88" fillId="0" borderId="150" xfId="24" applyFont="1" applyFill="1" applyBorder="1"/>
    <xf numFmtId="3" fontId="88" fillId="0" borderId="135" xfId="24" applyNumberFormat="1" applyFont="1" applyFill="1" applyBorder="1"/>
    <xf numFmtId="3" fontId="88" fillId="0" borderId="174" xfId="24" applyNumberFormat="1" applyFont="1" applyFill="1" applyBorder="1"/>
    <xf numFmtId="0" fontId="1" fillId="0" borderId="0" xfId="24" applyFill="1"/>
    <xf numFmtId="0" fontId="90" fillId="0" borderId="96" xfId="24" applyFont="1" applyFill="1" applyBorder="1" applyAlignment="1">
      <alignment vertical="center"/>
    </xf>
    <xf numFmtId="0" fontId="93" fillId="0" borderId="133" xfId="24" applyFont="1" applyFill="1" applyBorder="1" applyAlignment="1">
      <alignment vertical="center"/>
    </xf>
    <xf numFmtId="0" fontId="90" fillId="0" borderId="133" xfId="24" applyFont="1" applyFill="1" applyBorder="1" applyAlignment="1">
      <alignment vertical="center" wrapText="1"/>
    </xf>
    <xf numFmtId="0" fontId="93" fillId="0" borderId="133" xfId="24" applyFont="1" applyFill="1" applyBorder="1" applyAlignment="1">
      <alignment horizontal="left" vertical="center" indent="2"/>
    </xf>
    <xf numFmtId="3" fontId="90" fillId="13" borderId="238" xfId="24" applyNumberFormat="1" applyFont="1" applyFill="1" applyBorder="1" applyAlignment="1">
      <alignment vertical="center"/>
    </xf>
    <xf numFmtId="3" fontId="44" fillId="0" borderId="9" xfId="21" applyNumberFormat="1" applyFont="1" applyBorder="1"/>
    <xf numFmtId="3" fontId="42" fillId="0" borderId="9" xfId="21" applyNumberFormat="1" applyFont="1" applyBorder="1"/>
    <xf numFmtId="3" fontId="4" fillId="0" borderId="0" xfId="21" applyNumberFormat="1"/>
    <xf numFmtId="3" fontId="29" fillId="2" borderId="9" xfId="21" applyNumberFormat="1" applyFont="1" applyFill="1" applyBorder="1"/>
    <xf numFmtId="0" fontId="4" fillId="0" borderId="46" xfId="21" applyBorder="1"/>
    <xf numFmtId="168" fontId="29" fillId="0" borderId="9" xfId="21" applyNumberFormat="1" applyFont="1" applyBorder="1" applyAlignment="1">
      <alignment horizontal="center"/>
    </xf>
    <xf numFmtId="0" fontId="29" fillId="0" borderId="36" xfId="21" applyFont="1" applyBorder="1" applyAlignment="1">
      <alignment horizontal="left"/>
    </xf>
    <xf numFmtId="0" fontId="29" fillId="0" borderId="36" xfId="21" applyFont="1" applyBorder="1" applyAlignment="1">
      <alignment horizontal="center"/>
    </xf>
    <xf numFmtId="3" fontId="29" fillId="0" borderId="9" xfId="21" applyNumberFormat="1" applyFont="1" applyBorder="1" applyAlignment="1">
      <alignment horizontal="center"/>
    </xf>
    <xf numFmtId="0" fontId="4" fillId="0" borderId="9" xfId="21" applyBorder="1"/>
    <xf numFmtId="3" fontId="29" fillId="0" borderId="46" xfId="21" applyNumberFormat="1" applyFont="1" applyBorder="1" applyAlignment="1">
      <alignment horizontal="center"/>
    </xf>
    <xf numFmtId="0" fontId="11" fillId="15" borderId="1" xfId="0" applyFont="1" applyFill="1" applyBorder="1" applyAlignment="1" applyProtection="1">
      <alignment horizontal="left" vertical="center"/>
    </xf>
    <xf numFmtId="0" fontId="10" fillId="15" borderId="44" xfId="0" applyFont="1" applyFill="1" applyBorder="1" applyAlignment="1" applyProtection="1">
      <alignment vertical="center" wrapText="1"/>
    </xf>
    <xf numFmtId="0" fontId="11" fillId="15" borderId="40" xfId="0" applyFont="1" applyFill="1" applyBorder="1" applyAlignment="1" applyProtection="1">
      <alignment vertical="center" wrapText="1"/>
    </xf>
    <xf numFmtId="4" fontId="11" fillId="15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0" fillId="15" borderId="0" xfId="0" applyFill="1" applyAlignment="1">
      <alignment vertical="center" wrapText="1"/>
    </xf>
    <xf numFmtId="3" fontId="0" fillId="15" borderId="0" xfId="0" applyNumberFormat="1" applyFill="1" applyAlignment="1">
      <alignment vertical="center" wrapText="1"/>
    </xf>
    <xf numFmtId="0" fontId="54" fillId="0" borderId="78" xfId="21" applyFont="1" applyBorder="1" applyAlignment="1">
      <alignment horizontal="left" wrapText="1"/>
    </xf>
    <xf numFmtId="3" fontId="54" fillId="0" borderId="78" xfId="21" applyNumberFormat="1" applyFont="1" applyFill="1" applyBorder="1"/>
    <xf numFmtId="0" fontId="54" fillId="0" borderId="46" xfId="21" applyFont="1" applyBorder="1" applyAlignment="1">
      <alignment horizontal="center" wrapText="1"/>
    </xf>
    <xf numFmtId="0" fontId="54" fillId="0" borderId="9" xfId="21" applyFont="1" applyBorder="1" applyAlignment="1">
      <alignment horizontal="left" wrapText="1"/>
    </xf>
    <xf numFmtId="3" fontId="54" fillId="0" borderId="0" xfId="21" applyNumberFormat="1" applyFont="1" applyFill="1" applyBorder="1"/>
    <xf numFmtId="49" fontId="42" fillId="17" borderId="36" xfId="21" applyNumberFormat="1" applyFont="1" applyFill="1" applyBorder="1" applyAlignment="1">
      <alignment horizontal="left" vertical="center"/>
    </xf>
    <xf numFmtId="0" fontId="42" fillId="0" borderId="78" xfId="21" applyFont="1" applyBorder="1"/>
    <xf numFmtId="0" fontId="44" fillId="0" borderId="78" xfId="21" applyFont="1" applyBorder="1"/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5" fontId="10" fillId="0" borderId="0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3" fontId="99" fillId="0" borderId="0" xfId="0" applyNumberFormat="1" applyFont="1" applyFill="1" applyAlignment="1">
      <alignment vertical="center" wrapText="1"/>
    </xf>
    <xf numFmtId="0" fontId="10" fillId="0" borderId="9" xfId="19" applyFont="1" applyFill="1" applyBorder="1" applyAlignment="1" applyProtection="1">
      <alignment horizontal="left" wrapText="1" indent="6"/>
    </xf>
    <xf numFmtId="49" fontId="10" fillId="0" borderId="15" xfId="0" applyNumberFormat="1" applyFont="1" applyFill="1" applyBorder="1" applyAlignment="1" applyProtection="1">
      <alignment horizontal="center" vertical="center" wrapText="1"/>
    </xf>
    <xf numFmtId="0" fontId="75" fillId="0" borderId="89" xfId="20" applyFont="1" applyBorder="1" applyAlignment="1">
      <alignment horizontal="left" vertical="center" wrapText="1"/>
    </xf>
    <xf numFmtId="3" fontId="75" fillId="0" borderId="0" xfId="20" applyNumberFormat="1" applyFont="1" applyBorder="1" applyAlignment="1">
      <alignment horizontal="right" vertical="center"/>
    </xf>
    <xf numFmtId="165" fontId="11" fillId="0" borderId="0" xfId="19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0" fontId="12" fillId="0" borderId="270" xfId="19" applyFont="1" applyFill="1" applyBorder="1" applyAlignment="1" applyProtection="1">
      <alignment horizontal="center" vertical="center" wrapText="1"/>
    </xf>
    <xf numFmtId="0" fontId="12" fillId="0" borderId="269" xfId="19" applyFont="1" applyFill="1" applyBorder="1" applyAlignment="1" applyProtection="1">
      <alignment horizontal="center" vertical="center" wrapText="1"/>
    </xf>
    <xf numFmtId="0" fontId="12" fillId="0" borderId="271" xfId="19" applyFont="1" applyFill="1" applyBorder="1" applyAlignment="1" applyProtection="1">
      <alignment horizontal="center" vertical="center" wrapText="1"/>
    </xf>
    <xf numFmtId="0" fontId="9" fillId="0" borderId="235" xfId="19" applyFont="1" applyFill="1" applyBorder="1" applyAlignment="1" applyProtection="1">
      <alignment horizontal="center" vertical="center"/>
    </xf>
    <xf numFmtId="0" fontId="9" fillId="0" borderId="232" xfId="19" applyFont="1" applyFill="1" applyBorder="1" applyAlignment="1" applyProtection="1">
      <alignment horizontal="center" vertical="center"/>
    </xf>
    <xf numFmtId="0" fontId="9" fillId="0" borderId="236" xfId="19" applyFont="1" applyFill="1" applyBorder="1" applyAlignment="1" applyProtection="1">
      <alignment horizontal="center" vertical="center"/>
    </xf>
    <xf numFmtId="0" fontId="13" fillId="0" borderId="270" xfId="19" applyFont="1" applyFill="1" applyBorder="1" applyAlignment="1" applyProtection="1">
      <alignment horizontal="center" vertical="center"/>
    </xf>
    <xf numFmtId="0" fontId="9" fillId="0" borderId="269" xfId="19" applyFont="1" applyFill="1" applyBorder="1" applyProtection="1"/>
    <xf numFmtId="171" fontId="9" fillId="0" borderId="271" xfId="6" applyNumberFormat="1" applyFont="1" applyFill="1" applyBorder="1" applyAlignment="1" applyProtection="1">
      <protection locked="0"/>
    </xf>
    <xf numFmtId="0" fontId="13" fillId="0" borderId="8" xfId="19" applyFont="1" applyFill="1" applyBorder="1" applyAlignment="1" applyProtection="1">
      <alignment horizontal="center" vertical="center"/>
    </xf>
    <xf numFmtId="0" fontId="9" fillId="0" borderId="9" xfId="19" applyFont="1" applyFill="1" applyBorder="1" applyProtection="1"/>
    <xf numFmtId="171" fontId="9" fillId="0" borderId="10" xfId="6" applyNumberFormat="1" applyFont="1" applyFill="1" applyBorder="1" applyAlignment="1" applyProtection="1">
      <protection locked="0"/>
    </xf>
    <xf numFmtId="0" fontId="9" fillId="0" borderId="9" xfId="19" applyFont="1" applyFill="1" applyBorder="1" applyAlignment="1" applyProtection="1">
      <alignment wrapText="1"/>
    </xf>
    <xf numFmtId="0" fontId="13" fillId="0" borderId="272" xfId="19" applyFont="1" applyFill="1" applyBorder="1" applyAlignment="1" applyProtection="1">
      <alignment horizontal="center" vertical="center"/>
    </xf>
    <xf numFmtId="0" fontId="9" fillId="0" borderId="261" xfId="19" applyFont="1" applyFill="1" applyBorder="1" applyProtection="1"/>
    <xf numFmtId="171" fontId="9" fillId="0" borderId="273" xfId="6" applyNumberFormat="1" applyFont="1" applyFill="1" applyBorder="1" applyAlignment="1" applyProtection="1">
      <protection locked="0"/>
    </xf>
    <xf numFmtId="171" fontId="12" fillId="2" borderId="236" xfId="6" applyNumberFormat="1" applyFont="1" applyFill="1" applyBorder="1" applyAlignment="1" applyProtection="1"/>
    <xf numFmtId="0" fontId="9" fillId="0" borderId="270" xfId="19" applyFont="1" applyFill="1" applyBorder="1" applyAlignment="1" applyProtection="1">
      <alignment horizontal="center" vertical="center"/>
    </xf>
    <xf numFmtId="0" fontId="9" fillId="0" borderId="269" xfId="19" applyFont="1" applyFill="1" applyBorder="1" applyProtection="1">
      <protection locked="0"/>
    </xf>
    <xf numFmtId="170" fontId="9" fillId="0" borderId="271" xfId="1" applyNumberFormat="1" applyFont="1" applyFill="1" applyBorder="1" applyAlignment="1" applyProtection="1">
      <protection locked="0"/>
    </xf>
    <xf numFmtId="0" fontId="9" fillId="0" borderId="8" xfId="19" applyFont="1" applyFill="1" applyBorder="1" applyAlignment="1" applyProtection="1">
      <alignment horizontal="center" vertical="center"/>
    </xf>
    <xf numFmtId="0" fontId="9" fillId="0" borderId="9" xfId="19" applyFont="1" applyFill="1" applyBorder="1" applyProtection="1">
      <protection locked="0"/>
    </xf>
    <xf numFmtId="170" fontId="9" fillId="0" borderId="10" xfId="1" applyNumberFormat="1" applyFont="1" applyFill="1" applyBorder="1" applyAlignment="1" applyProtection="1">
      <protection locked="0"/>
    </xf>
    <xf numFmtId="0" fontId="9" fillId="0" borderId="272" xfId="19" applyFont="1" applyFill="1" applyBorder="1" applyAlignment="1" applyProtection="1">
      <alignment horizontal="center" vertical="center"/>
    </xf>
    <xf numFmtId="0" fontId="9" fillId="0" borderId="261" xfId="19" applyFont="1" applyFill="1" applyBorder="1" applyProtection="1">
      <protection locked="0"/>
    </xf>
    <xf numFmtId="170" fontId="9" fillId="0" borderId="273" xfId="1" applyNumberFormat="1" applyFont="1" applyFill="1" applyBorder="1" applyAlignment="1" applyProtection="1">
      <protection locked="0"/>
    </xf>
    <xf numFmtId="0" fontId="9" fillId="2" borderId="235" xfId="19" applyFont="1" applyFill="1" applyBorder="1" applyAlignment="1" applyProtection="1">
      <alignment horizontal="center" vertical="center"/>
    </xf>
    <xf numFmtId="0" fontId="12" fillId="2" borderId="232" xfId="19" applyFont="1" applyFill="1" applyBorder="1" applyAlignment="1" applyProtection="1">
      <alignment horizontal="left" vertical="center" wrapText="1"/>
    </xf>
    <xf numFmtId="170" fontId="9" fillId="2" borderId="236" xfId="1" applyNumberFormat="1" applyFont="1" applyFill="1" applyBorder="1" applyAlignment="1" applyProtection="1"/>
    <xf numFmtId="165" fontId="100" fillId="0" borderId="0" xfId="25" applyNumberFormat="1" applyFill="1" applyAlignment="1">
      <alignment vertical="center" wrapText="1"/>
    </xf>
    <xf numFmtId="165" fontId="61" fillId="0" borderId="0" xfId="25" applyNumberFormat="1" applyFont="1" applyFill="1" applyAlignment="1">
      <alignment horizontal="right"/>
    </xf>
    <xf numFmtId="165" fontId="27" fillId="0" borderId="0" xfId="25" applyNumberFormat="1" applyFont="1" applyFill="1" applyAlignment="1">
      <alignment vertical="center"/>
    </xf>
    <xf numFmtId="165" fontId="27" fillId="0" borderId="0" xfId="25" applyNumberFormat="1" applyFont="1" applyFill="1" applyAlignment="1">
      <alignment horizontal="center" vertical="center"/>
    </xf>
    <xf numFmtId="165" fontId="64" fillId="0" borderId="85" xfId="25" applyNumberFormat="1" applyFont="1" applyFill="1" applyBorder="1" applyAlignment="1">
      <alignment horizontal="center" vertical="center" wrapText="1"/>
    </xf>
    <xf numFmtId="165" fontId="64" fillId="0" borderId="99" xfId="25" applyNumberFormat="1" applyFont="1" applyFill="1" applyBorder="1" applyAlignment="1">
      <alignment horizontal="center" vertical="center" wrapText="1"/>
    </xf>
    <xf numFmtId="165" fontId="64" fillId="0" borderId="277" xfId="25" applyNumberFormat="1" applyFont="1" applyFill="1" applyBorder="1" applyAlignment="1">
      <alignment horizontal="center" vertical="center" wrapText="1"/>
    </xf>
    <xf numFmtId="165" fontId="64" fillId="0" borderId="275" xfId="25" applyNumberFormat="1" applyFont="1" applyFill="1" applyBorder="1" applyAlignment="1">
      <alignment horizontal="center" vertical="center" wrapText="1"/>
    </xf>
    <xf numFmtId="165" fontId="64" fillId="0" borderId="96" xfId="25" applyNumberFormat="1" applyFont="1" applyFill="1" applyBorder="1" applyAlignment="1">
      <alignment horizontal="center" vertical="center" wrapText="1"/>
    </xf>
    <xf numFmtId="165" fontId="64" fillId="0" borderId="0" xfId="25" applyNumberFormat="1" applyFont="1" applyFill="1" applyAlignment="1">
      <alignment horizontal="center" vertical="center" wrapText="1"/>
    </xf>
    <xf numFmtId="165" fontId="12" fillId="0" borderId="274" xfId="25" applyNumberFormat="1" applyFont="1" applyFill="1" applyBorder="1" applyAlignment="1">
      <alignment horizontal="center" vertical="center" wrapText="1"/>
    </xf>
    <xf numFmtId="165" fontId="12" fillId="0" borderId="99" xfId="25" applyNumberFormat="1" applyFont="1" applyFill="1" applyBorder="1" applyAlignment="1">
      <alignment horizontal="left" vertical="center" wrapText="1" indent="1"/>
    </xf>
    <xf numFmtId="165" fontId="9" fillId="0" borderId="90" xfId="25" applyNumberFormat="1" applyFont="1" applyFill="1" applyBorder="1" applyAlignment="1" applyProtection="1">
      <alignment horizontal="left" vertical="center" wrapText="1" indent="2"/>
    </xf>
    <xf numFmtId="165" fontId="9" fillId="0" borderId="99" xfId="25" applyNumberFormat="1" applyFont="1" applyFill="1" applyBorder="1" applyAlignment="1" applyProtection="1">
      <alignment vertical="center" wrapText="1"/>
    </xf>
    <xf numFmtId="165" fontId="9" fillId="0" borderId="90" xfId="25" applyNumberFormat="1" applyFont="1" applyFill="1" applyBorder="1" applyAlignment="1" applyProtection="1">
      <alignment vertical="center" wrapText="1"/>
    </xf>
    <xf numFmtId="165" fontId="9" fillId="0" borderId="277" xfId="25" applyNumberFormat="1" applyFont="1" applyFill="1" applyBorder="1" applyAlignment="1" applyProtection="1">
      <alignment vertical="center" wrapText="1"/>
    </xf>
    <xf numFmtId="165" fontId="9" fillId="0" borderId="275" xfId="25" applyNumberFormat="1" applyFont="1" applyFill="1" applyBorder="1" applyAlignment="1" applyProtection="1">
      <alignment vertical="center" wrapText="1"/>
    </xf>
    <xf numFmtId="165" fontId="9" fillId="0" borderId="99" xfId="25" applyNumberFormat="1" applyFont="1" applyFill="1" applyBorder="1" applyAlignment="1">
      <alignment vertical="center" wrapText="1"/>
    </xf>
    <xf numFmtId="165" fontId="9" fillId="0" borderId="0" xfId="25" applyNumberFormat="1" applyFont="1" applyFill="1" applyAlignment="1">
      <alignment vertical="center" wrapText="1"/>
    </xf>
    <xf numFmtId="172" fontId="9" fillId="0" borderId="78" xfId="25" applyNumberFormat="1" applyFont="1" applyFill="1" applyBorder="1" applyAlignment="1" applyProtection="1">
      <alignment horizontal="left" vertical="center" wrapText="1" indent="2"/>
      <protection locked="0"/>
    </xf>
    <xf numFmtId="165" fontId="9" fillId="0" borderId="78" xfId="25" applyNumberFormat="1" applyFont="1" applyFill="1" applyBorder="1" applyAlignment="1" applyProtection="1">
      <alignment vertical="center" wrapText="1"/>
      <protection locked="0"/>
    </xf>
    <xf numFmtId="165" fontId="12" fillId="0" borderId="99" xfId="25" applyNumberFormat="1" applyFont="1" applyFill="1" applyBorder="1" applyAlignment="1" applyProtection="1">
      <alignment horizontal="left" vertical="center" wrapText="1" indent="1"/>
      <protection locked="0"/>
    </xf>
    <xf numFmtId="165" fontId="54" fillId="0" borderId="90" xfId="25" applyNumberFormat="1" applyFont="1" applyFill="1" applyBorder="1" applyAlignment="1" applyProtection="1">
      <alignment horizontal="left" vertical="center" wrapText="1" indent="2"/>
    </xf>
    <xf numFmtId="165" fontId="54" fillId="0" borderId="99" xfId="25" applyNumberFormat="1" applyFont="1" applyFill="1" applyBorder="1" applyAlignment="1" applyProtection="1">
      <alignment vertical="center" wrapText="1"/>
    </xf>
    <xf numFmtId="165" fontId="54" fillId="0" borderId="99" xfId="25" applyNumberFormat="1" applyFont="1" applyFill="1" applyBorder="1" applyAlignment="1">
      <alignment vertical="center" wrapText="1"/>
    </xf>
    <xf numFmtId="172" fontId="54" fillId="0" borderId="78" xfId="25" applyNumberFormat="1" applyFont="1" applyFill="1" applyBorder="1" applyAlignment="1" applyProtection="1">
      <alignment horizontal="left" vertical="center" wrapText="1" indent="2"/>
      <protection locked="0"/>
    </xf>
    <xf numFmtId="165" fontId="54" fillId="0" borderId="96" xfId="25" applyNumberFormat="1" applyFont="1" applyFill="1" applyBorder="1" applyAlignment="1" applyProtection="1">
      <alignment vertical="center" wrapText="1"/>
      <protection locked="0"/>
    </xf>
    <xf numFmtId="165" fontId="9" fillId="0" borderId="99" xfId="25" applyNumberFormat="1" applyFont="1" applyFill="1" applyBorder="1" applyAlignment="1">
      <alignment horizontal="left" vertical="center" wrapText="1" indent="1"/>
    </xf>
    <xf numFmtId="172" fontId="54" fillId="0" borderId="90" xfId="25" applyNumberFormat="1" applyFont="1" applyFill="1" applyBorder="1" applyAlignment="1" applyProtection="1">
      <alignment horizontal="left" vertical="center" wrapText="1" indent="2"/>
      <protection locked="0"/>
    </xf>
    <xf numFmtId="165" fontId="54" fillId="0" borderId="99" xfId="25" applyNumberFormat="1" applyFont="1" applyFill="1" applyBorder="1" applyAlignment="1" applyProtection="1">
      <alignment vertical="center" wrapText="1"/>
      <protection locked="0"/>
    </xf>
    <xf numFmtId="3" fontId="54" fillId="0" borderId="90" xfId="21" applyNumberFormat="1" applyFont="1" applyBorder="1" applyAlignment="1">
      <alignment vertical="center"/>
    </xf>
    <xf numFmtId="3" fontId="54" fillId="0" borderId="277" xfId="21" applyNumberFormat="1" applyFont="1" applyBorder="1" applyAlignment="1">
      <alignment vertical="center"/>
    </xf>
    <xf numFmtId="3" fontId="54" fillId="0" borderId="275" xfId="21" applyNumberFormat="1" applyFont="1" applyBorder="1" applyAlignment="1">
      <alignment vertical="center"/>
    </xf>
    <xf numFmtId="165" fontId="9" fillId="0" borderId="0" xfId="25" applyNumberFormat="1" applyFont="1" applyFill="1" applyAlignment="1" applyProtection="1">
      <alignment vertical="center" wrapText="1"/>
      <protection locked="0"/>
    </xf>
    <xf numFmtId="165" fontId="9" fillId="0" borderId="99" xfId="25" applyNumberFormat="1" applyFont="1" applyFill="1" applyBorder="1" applyAlignment="1" applyProtection="1">
      <alignment vertical="center" wrapText="1"/>
      <protection locked="0"/>
    </xf>
    <xf numFmtId="172" fontId="9" fillId="0" borderId="93" xfId="25" applyNumberFormat="1" applyFont="1" applyFill="1" applyBorder="1" applyAlignment="1" applyProtection="1">
      <alignment horizontal="left" vertical="center" wrapText="1" indent="2"/>
      <protection locked="0"/>
    </xf>
    <xf numFmtId="165" fontId="9" fillId="0" borderId="102" xfId="25" applyNumberFormat="1" applyFont="1" applyFill="1" applyBorder="1" applyAlignment="1" applyProtection="1">
      <alignment vertical="center" wrapText="1"/>
      <protection locked="0"/>
    </xf>
    <xf numFmtId="165" fontId="9" fillId="0" borderId="94" xfId="25" applyNumberFormat="1" applyFont="1" applyFill="1" applyBorder="1" applyAlignment="1" applyProtection="1">
      <alignment vertical="center" wrapText="1"/>
      <protection locked="0"/>
    </xf>
    <xf numFmtId="165" fontId="9" fillId="0" borderId="276" xfId="25" applyNumberFormat="1" applyFont="1" applyFill="1" applyBorder="1" applyAlignment="1" applyProtection="1">
      <alignment vertical="center" wrapText="1"/>
      <protection locked="0"/>
    </xf>
    <xf numFmtId="165" fontId="9" fillId="0" borderId="95" xfId="25" applyNumberFormat="1" applyFont="1" applyFill="1" applyBorder="1" applyAlignment="1" applyProtection="1">
      <alignment vertical="center" wrapText="1"/>
      <protection locked="0"/>
    </xf>
    <xf numFmtId="165" fontId="9" fillId="0" borderId="102" xfId="25" applyNumberFormat="1" applyFont="1" applyFill="1" applyBorder="1" applyAlignment="1">
      <alignment vertical="center" wrapText="1"/>
    </xf>
    <xf numFmtId="165" fontId="9" fillId="18" borderId="277" xfId="25" applyNumberFormat="1" applyFont="1" applyFill="1" applyBorder="1" applyAlignment="1" applyProtection="1">
      <alignment horizontal="left" vertical="center" wrapText="1" indent="2"/>
    </xf>
    <xf numFmtId="49" fontId="81" fillId="0" borderId="0" xfId="25" applyNumberFormat="1" applyFont="1" applyFill="1" applyAlignment="1">
      <alignment vertical="center" wrapText="1"/>
    </xf>
    <xf numFmtId="49" fontId="69" fillId="0" borderId="0" xfId="25" applyNumberFormat="1" applyFont="1" applyFill="1" applyAlignment="1">
      <alignment wrapText="1"/>
    </xf>
    <xf numFmtId="0" fontId="69" fillId="0" borderId="0" xfId="25" applyNumberFormat="1" applyFont="1" applyFill="1" applyAlignment="1">
      <alignment wrapText="1"/>
    </xf>
    <xf numFmtId="165" fontId="102" fillId="0" borderId="0" xfId="25" applyNumberFormat="1" applyFont="1" applyFill="1" applyAlignment="1">
      <alignment vertical="center" wrapText="1"/>
    </xf>
    <xf numFmtId="165" fontId="81" fillId="0" borderId="0" xfId="25" applyNumberFormat="1" applyFont="1" applyFill="1" applyAlignment="1">
      <alignment vertical="center" wrapText="1"/>
    </xf>
    <xf numFmtId="49" fontId="27" fillId="0" borderId="0" xfId="16" applyNumberFormat="1" applyFont="1" applyFill="1" applyBorder="1" applyAlignment="1">
      <alignment vertical="center"/>
    </xf>
    <xf numFmtId="3" fontId="12" fillId="0" borderId="0" xfId="16" applyNumberFormat="1" applyFont="1" applyFill="1" applyBorder="1" applyAlignment="1">
      <alignment vertical="center"/>
    </xf>
    <xf numFmtId="0" fontId="66" fillId="0" borderId="0" xfId="16" applyFill="1"/>
    <xf numFmtId="0" fontId="64" fillId="0" borderId="0" xfId="16" applyFont="1" applyFill="1" applyAlignment="1">
      <alignment vertical="center"/>
    </xf>
    <xf numFmtId="0" fontId="12" fillId="0" borderId="278" xfId="16" applyFont="1" applyFill="1" applyBorder="1" applyAlignment="1">
      <alignment vertical="center"/>
    </xf>
    <xf numFmtId="0" fontId="12" fillId="0" borderId="279" xfId="16" applyFont="1" applyFill="1" applyBorder="1" applyAlignment="1">
      <alignment horizontal="center" vertical="center"/>
    </xf>
    <xf numFmtId="0" fontId="12" fillId="0" borderId="280" xfId="16" applyFont="1" applyFill="1" applyBorder="1" applyAlignment="1">
      <alignment horizontal="center" vertical="center"/>
    </xf>
    <xf numFmtId="49" fontId="9" fillId="0" borderId="281" xfId="16" applyNumberFormat="1" applyFont="1" applyFill="1" applyBorder="1" applyAlignment="1">
      <alignment vertical="center"/>
    </xf>
    <xf numFmtId="3" fontId="9" fillId="0" borderId="282" xfId="16" applyNumberFormat="1" applyFont="1" applyFill="1" applyBorder="1" applyAlignment="1" applyProtection="1">
      <alignment vertical="center"/>
      <protection locked="0"/>
    </xf>
    <xf numFmtId="49" fontId="65" fillId="0" borderId="8" xfId="16" applyNumberFormat="1" applyFont="1" applyFill="1" applyBorder="1" applyAlignment="1">
      <alignment horizontal="left" vertical="center" indent="1"/>
    </xf>
    <xf numFmtId="49" fontId="9" fillId="0" borderId="8" xfId="16" applyNumberFormat="1" applyFont="1" applyFill="1" applyBorder="1" applyAlignment="1">
      <alignment vertical="center"/>
    </xf>
    <xf numFmtId="49" fontId="13" fillId="0" borderId="272" xfId="16" applyNumberFormat="1" applyFont="1" applyFill="1" applyBorder="1" applyAlignment="1" applyProtection="1">
      <alignment vertical="center"/>
      <protection locked="0"/>
    </xf>
    <xf numFmtId="49" fontId="27" fillId="0" borderId="283" xfId="16" applyNumberFormat="1" applyFont="1" applyFill="1" applyBorder="1" applyAlignment="1">
      <alignment vertical="center"/>
    </xf>
    <xf numFmtId="3" fontId="12" fillId="0" borderId="284" xfId="16" applyNumberFormat="1" applyFont="1" applyFill="1" applyBorder="1" applyAlignment="1">
      <alignment vertical="center"/>
    </xf>
    <xf numFmtId="3" fontId="12" fillId="0" borderId="285" xfId="16" applyNumberFormat="1" applyFont="1" applyFill="1" applyBorder="1" applyAlignment="1">
      <alignment vertical="center"/>
    </xf>
    <xf numFmtId="0" fontId="66" fillId="0" borderId="0" xfId="16" applyFill="1" applyAlignment="1">
      <alignment vertical="center"/>
    </xf>
    <xf numFmtId="49" fontId="13" fillId="0" borderId="8" xfId="16" applyNumberFormat="1" applyFont="1" applyFill="1" applyBorder="1" applyAlignment="1" applyProtection="1">
      <alignment vertical="center"/>
      <protection locked="0"/>
    </xf>
    <xf numFmtId="0" fontId="12" fillId="0" borderId="0" xfId="16" applyFont="1" applyFill="1" applyAlignment="1">
      <alignment vertical="center"/>
    </xf>
    <xf numFmtId="49" fontId="9" fillId="0" borderId="286" xfId="16" applyNumberFormat="1" applyFont="1" applyFill="1" applyBorder="1" applyAlignment="1">
      <alignment vertical="center"/>
    </xf>
    <xf numFmtId="49" fontId="9" fillId="0" borderId="287" xfId="16" applyNumberFormat="1" applyFont="1" applyFill="1" applyBorder="1" applyAlignment="1">
      <alignment vertical="center"/>
    </xf>
    <xf numFmtId="49" fontId="9" fillId="0" borderId="288" xfId="16" applyNumberFormat="1" applyFont="1" applyFill="1" applyBorder="1" applyAlignment="1">
      <alignment vertical="center"/>
    </xf>
    <xf numFmtId="49" fontId="27" fillId="0" borderId="289" xfId="16" applyNumberFormat="1" applyFont="1" applyFill="1" applyBorder="1" applyAlignment="1">
      <alignment vertical="center"/>
    </xf>
    <xf numFmtId="49" fontId="9" fillId="0" borderId="290" xfId="16" applyNumberFormat="1" applyFont="1" applyFill="1" applyBorder="1" applyAlignment="1">
      <alignment vertical="center"/>
    </xf>
    <xf numFmtId="165" fontId="15" fillId="0" borderId="0" xfId="0" applyNumberFormat="1" applyFont="1" applyFill="1" applyAlignment="1">
      <alignment horizontal="center" vertical="center" wrapText="1"/>
    </xf>
    <xf numFmtId="165" fontId="65" fillId="0" borderId="0" xfId="0" applyNumberFormat="1" applyFont="1" applyFill="1" applyAlignment="1">
      <alignment vertical="center" wrapText="1"/>
    </xf>
    <xf numFmtId="165" fontId="12" fillId="0" borderId="0" xfId="0" applyNumberFormat="1" applyFont="1" applyFill="1" applyAlignment="1">
      <alignment horizontal="right" vertical="center"/>
    </xf>
    <xf numFmtId="0" fontId="28" fillId="0" borderId="283" xfId="0" applyFont="1" applyFill="1" applyBorder="1" applyAlignment="1">
      <alignment horizontal="center" vertical="center" wrapText="1"/>
    </xf>
    <xf numFmtId="0" fontId="12" fillId="0" borderId="284" xfId="0" applyFont="1" applyFill="1" applyBorder="1" applyAlignment="1" applyProtection="1">
      <alignment horizontal="center" vertical="center" wrapText="1"/>
    </xf>
    <xf numFmtId="0" fontId="12" fillId="0" borderId="285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283" xfId="0" applyFont="1" applyFill="1" applyBorder="1" applyAlignment="1">
      <alignment horizontal="center" vertical="center" wrapText="1"/>
    </xf>
    <xf numFmtId="0" fontId="25" fillId="0" borderId="284" xfId="0" applyFont="1" applyFill="1" applyBorder="1" applyAlignment="1" applyProtection="1">
      <alignment horizontal="center" vertical="center" wrapText="1"/>
    </xf>
    <xf numFmtId="0" fontId="25" fillId="0" borderId="285" xfId="0" applyFont="1" applyFill="1" applyBorder="1" applyAlignment="1" applyProtection="1">
      <alignment horizontal="center" vertical="center" wrapText="1"/>
    </xf>
    <xf numFmtId="0" fontId="13" fillId="0" borderId="281" xfId="0" applyFont="1" applyFill="1" applyBorder="1" applyAlignment="1">
      <alignment horizontal="center" vertical="center" wrapText="1"/>
    </xf>
    <xf numFmtId="0" fontId="44" fillId="0" borderId="292" xfId="0" applyFont="1" applyFill="1" applyBorder="1" applyAlignment="1" applyProtection="1">
      <alignment horizontal="left" vertical="center" wrapText="1" indent="1"/>
    </xf>
    <xf numFmtId="165" fontId="10" fillId="0" borderId="292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93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8" xfId="0" applyFont="1" applyFill="1" applyBorder="1" applyAlignment="1">
      <alignment horizontal="center" vertical="center" wrapText="1"/>
    </xf>
    <xf numFmtId="0" fontId="44" fillId="0" borderId="46" xfId="0" applyFont="1" applyFill="1" applyBorder="1" applyAlignment="1" applyProtection="1">
      <alignment horizontal="left" vertical="center" wrapText="1" indent="1"/>
    </xf>
    <xf numFmtId="165" fontId="10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46" xfId="0" applyFont="1" applyFill="1" applyBorder="1" applyAlignment="1" applyProtection="1">
      <alignment horizontal="left" vertical="center" wrapText="1" indent="8"/>
    </xf>
    <xf numFmtId="0" fontId="13" fillId="0" borderId="294" xfId="0" applyFont="1" applyFill="1" applyBorder="1" applyAlignment="1" applyProtection="1">
      <alignment vertical="center" wrapText="1"/>
      <protection locked="0"/>
    </xf>
    <xf numFmtId="165" fontId="10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9" xfId="0" applyFont="1" applyFill="1" applyBorder="1" applyAlignment="1" applyProtection="1">
      <alignment vertical="center" wrapText="1"/>
      <protection locked="0"/>
    </xf>
    <xf numFmtId="165" fontId="13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7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 applyProtection="1">
      <alignment vertical="center" wrapText="1"/>
      <protection locked="0"/>
    </xf>
    <xf numFmtId="165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7" xfId="0" applyFont="1" applyFill="1" applyBorder="1" applyAlignment="1" applyProtection="1">
      <alignment vertical="center" wrapText="1"/>
    </xf>
    <xf numFmtId="165" fontId="27" fillId="0" borderId="17" xfId="0" applyNumberFormat="1" applyFont="1" applyFill="1" applyBorder="1" applyAlignment="1" applyProtection="1">
      <alignment vertical="center" wrapText="1"/>
    </xf>
    <xf numFmtId="165" fontId="27" fillId="0" borderId="28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26" applyFill="1" applyProtection="1"/>
    <xf numFmtId="0" fontId="9" fillId="0" borderId="0" xfId="26" applyFill="1" applyProtection="1">
      <protection locked="0"/>
    </xf>
    <xf numFmtId="0" fontId="11" fillId="0" borderId="0" xfId="0" applyFont="1" applyFill="1" applyAlignment="1">
      <alignment horizontal="right"/>
    </xf>
    <xf numFmtId="0" fontId="28" fillId="0" borderId="278" xfId="26" applyFont="1" applyFill="1" applyBorder="1" applyAlignment="1" applyProtection="1">
      <alignment horizontal="center" vertical="center" wrapText="1"/>
    </xf>
    <xf numFmtId="0" fontId="28" fillId="0" borderId="279" xfId="26" applyFont="1" applyFill="1" applyBorder="1" applyAlignment="1" applyProtection="1">
      <alignment horizontal="center" vertical="center"/>
    </xf>
    <xf numFmtId="0" fontId="28" fillId="0" borderId="280" xfId="26" applyFont="1" applyFill="1" applyBorder="1" applyAlignment="1" applyProtection="1">
      <alignment horizontal="center" vertical="center"/>
    </xf>
    <xf numFmtId="0" fontId="13" fillId="0" borderId="283" xfId="26" applyFont="1" applyFill="1" applyBorder="1" applyAlignment="1" applyProtection="1">
      <alignment horizontal="left" vertical="center" indent="1"/>
    </xf>
    <xf numFmtId="0" fontId="9" fillId="0" borderId="0" xfId="26" applyFill="1" applyAlignment="1" applyProtection="1">
      <alignment vertical="center"/>
    </xf>
    <xf numFmtId="0" fontId="13" fillId="0" borderId="14" xfId="26" applyFont="1" applyFill="1" applyBorder="1" applyAlignment="1" applyProtection="1">
      <alignment horizontal="left" vertical="center" indent="1"/>
    </xf>
    <xf numFmtId="0" fontId="13" fillId="0" borderId="15" xfId="26" applyFont="1" applyFill="1" applyBorder="1" applyAlignment="1" applyProtection="1">
      <alignment horizontal="left" vertical="center" indent="1"/>
    </xf>
    <xf numFmtId="165" fontId="13" fillId="0" borderId="15" xfId="26" applyNumberFormat="1" applyFont="1" applyFill="1" applyBorder="1" applyAlignment="1" applyProtection="1">
      <alignment vertical="center"/>
      <protection locked="0"/>
    </xf>
    <xf numFmtId="165" fontId="13" fillId="0" borderId="25" xfId="26" applyNumberFormat="1" applyFont="1" applyFill="1" applyBorder="1" applyAlignment="1" applyProtection="1">
      <alignment vertical="center"/>
    </xf>
    <xf numFmtId="0" fontId="13" fillId="0" borderId="8" xfId="26" applyFont="1" applyFill="1" applyBorder="1" applyAlignment="1" applyProtection="1">
      <alignment horizontal="left" vertical="center" indent="1"/>
    </xf>
    <xf numFmtId="0" fontId="13" fillId="0" borderId="9" xfId="26" applyFont="1" applyFill="1" applyBorder="1" applyAlignment="1" applyProtection="1">
      <alignment horizontal="left" vertical="center" indent="1"/>
    </xf>
    <xf numFmtId="165" fontId="13" fillId="0" borderId="9" xfId="26" applyNumberFormat="1" applyFont="1" applyFill="1" applyBorder="1" applyAlignment="1" applyProtection="1">
      <alignment vertical="center"/>
      <protection locked="0"/>
    </xf>
    <xf numFmtId="165" fontId="13" fillId="0" borderId="10" xfId="26" applyNumberFormat="1" applyFont="1" applyFill="1" applyBorder="1" applyAlignment="1" applyProtection="1">
      <alignment vertical="center"/>
    </xf>
    <xf numFmtId="0" fontId="9" fillId="0" borderId="0" xfId="26" applyFill="1" applyAlignment="1" applyProtection="1">
      <alignment vertical="center"/>
      <protection locked="0"/>
    </xf>
    <xf numFmtId="165" fontId="13" fillId="0" borderId="293" xfId="26" applyNumberFormat="1" applyFont="1" applyFill="1" applyBorder="1" applyAlignment="1" applyProtection="1">
      <alignment vertical="center"/>
    </xf>
    <xf numFmtId="0" fontId="13" fillId="0" borderId="9" xfId="26" applyFont="1" applyFill="1" applyBorder="1" applyAlignment="1" applyProtection="1">
      <alignment horizontal="left" vertical="center" wrapText="1" indent="1"/>
    </xf>
    <xf numFmtId="165" fontId="103" fillId="0" borderId="9" xfId="26" applyNumberFormat="1" applyFont="1" applyFill="1" applyBorder="1" applyAlignment="1" applyProtection="1">
      <alignment vertical="center"/>
      <protection locked="0"/>
    </xf>
    <xf numFmtId="0" fontId="28" fillId="0" borderId="284" xfId="26" applyFont="1" applyFill="1" applyBorder="1" applyAlignment="1" applyProtection="1">
      <alignment horizontal="left" vertical="center" indent="1"/>
    </xf>
    <xf numFmtId="165" fontId="25" fillId="0" borderId="284" xfId="26" applyNumberFormat="1" applyFont="1" applyFill="1" applyBorder="1" applyAlignment="1" applyProtection="1">
      <alignment vertical="center"/>
    </xf>
    <xf numFmtId="165" fontId="25" fillId="0" borderId="285" xfId="26" applyNumberFormat="1" applyFont="1" applyFill="1" applyBorder="1" applyAlignment="1" applyProtection="1">
      <alignment vertical="center"/>
    </xf>
    <xf numFmtId="0" fontId="28" fillId="0" borderId="284" xfId="26" applyFont="1" applyFill="1" applyBorder="1" applyAlignment="1" applyProtection="1">
      <alignment horizontal="left" indent="1"/>
    </xf>
    <xf numFmtId="165" fontId="25" fillId="0" borderId="284" xfId="26" applyNumberFormat="1" applyFont="1" applyFill="1" applyBorder="1" applyProtection="1"/>
    <xf numFmtId="165" fontId="25" fillId="0" borderId="285" xfId="26" applyNumberFormat="1" applyFont="1" applyFill="1" applyBorder="1" applyProtection="1"/>
    <xf numFmtId="165" fontId="9" fillId="0" borderId="0" xfId="26" applyNumberFormat="1" applyFill="1" applyProtection="1">
      <protection locked="0"/>
    </xf>
    <xf numFmtId="0" fontId="0" fillId="0" borderId="0" xfId="26" applyFont="1" applyFill="1" applyProtection="1"/>
    <xf numFmtId="0" fontId="11" fillId="0" borderId="0" xfId="26" applyFont="1" applyFill="1" applyProtection="1">
      <protection locked="0"/>
    </xf>
    <xf numFmtId="0" fontId="12" fillId="0" borderId="0" xfId="26" applyFont="1" applyFill="1" applyProtection="1">
      <protection locked="0"/>
    </xf>
    <xf numFmtId="165" fontId="9" fillId="0" borderId="0" xfId="26" applyNumberFormat="1" applyFill="1" applyProtection="1"/>
    <xf numFmtId="165" fontId="15" fillId="0" borderId="0" xfId="25" applyNumberFormat="1" applyFont="1" applyFill="1" applyAlignment="1">
      <alignment horizontal="center" vertical="center" wrapText="1"/>
    </xf>
    <xf numFmtId="165" fontId="15" fillId="0" borderId="0" xfId="25" applyNumberFormat="1" applyFont="1" applyFill="1" applyAlignment="1">
      <alignment vertical="center" wrapText="1"/>
    </xf>
    <xf numFmtId="165" fontId="101" fillId="0" borderId="0" xfId="25" applyNumberFormat="1" applyFont="1" applyFill="1" applyAlignment="1">
      <alignment horizontal="right" vertical="center"/>
    </xf>
    <xf numFmtId="165" fontId="27" fillId="0" borderId="93" xfId="25" applyNumberFormat="1" applyFont="1" applyFill="1" applyBorder="1" applyAlignment="1">
      <alignment horizontal="centerContinuous" vertical="center" wrapText="1"/>
    </xf>
    <xf numFmtId="165" fontId="27" fillId="0" borderId="296" xfId="25" applyNumberFormat="1" applyFont="1" applyFill="1" applyBorder="1" applyAlignment="1">
      <alignment horizontal="centerContinuous" vertical="center"/>
    </xf>
    <xf numFmtId="165" fontId="27" fillId="0" borderId="297" xfId="25" applyNumberFormat="1" applyFont="1" applyFill="1" applyBorder="1" applyAlignment="1">
      <alignment horizontal="centerContinuous" vertical="center"/>
    </xf>
    <xf numFmtId="165" fontId="9" fillId="0" borderId="99" xfId="25" applyNumberFormat="1" applyFont="1" applyFill="1" applyBorder="1" applyAlignment="1">
      <alignment horizontal="left" vertical="center" wrapText="1" indent="2"/>
    </xf>
    <xf numFmtId="165" fontId="9" fillId="0" borderId="298" xfId="25" applyNumberFormat="1" applyFont="1" applyFill="1" applyBorder="1" applyAlignment="1">
      <alignment horizontal="left" vertical="center" wrapText="1" indent="2"/>
    </xf>
    <xf numFmtId="165" fontId="12" fillId="0" borderId="274" xfId="25" applyNumberFormat="1" applyFont="1" applyFill="1" applyBorder="1" applyAlignment="1">
      <alignment vertical="center" wrapText="1"/>
    </xf>
    <xf numFmtId="165" fontId="12" fillId="0" borderId="90" xfId="25" applyNumberFormat="1" applyFont="1" applyFill="1" applyBorder="1" applyAlignment="1">
      <alignment vertical="center" wrapText="1"/>
    </xf>
    <xf numFmtId="165" fontId="12" fillId="0" borderId="275" xfId="25" applyNumberFormat="1" applyFont="1" applyFill="1" applyBorder="1" applyAlignment="1">
      <alignment vertical="center" wrapText="1"/>
    </xf>
    <xf numFmtId="165" fontId="12" fillId="0" borderId="118" xfId="25" applyNumberFormat="1" applyFont="1" applyFill="1" applyBorder="1" applyAlignment="1">
      <alignment horizontal="center" vertical="center" wrapText="1"/>
    </xf>
    <xf numFmtId="165" fontId="12" fillId="0" borderId="99" xfId="25" applyNumberFormat="1" applyFont="1" applyFill="1" applyBorder="1" applyAlignment="1">
      <alignment horizontal="center" vertical="center" wrapText="1"/>
    </xf>
    <xf numFmtId="165" fontId="27" fillId="0" borderId="274" xfId="25" applyNumberFormat="1" applyFont="1" applyFill="1" applyBorder="1" applyAlignment="1">
      <alignment horizontal="center" vertical="center" wrapText="1"/>
    </xf>
    <xf numFmtId="165" fontId="27" fillId="0" borderId="99" xfId="25" applyNumberFormat="1" applyFont="1" applyFill="1" applyBorder="1" applyAlignment="1">
      <alignment horizontal="left" vertical="center" wrapText="1" indent="1"/>
    </xf>
    <xf numFmtId="165" fontId="26" fillId="18" borderId="99" xfId="25" applyNumberFormat="1" applyFont="1" applyFill="1" applyBorder="1" applyAlignment="1">
      <alignment horizontal="left" vertical="center" wrapText="1" indent="2"/>
    </xf>
    <xf numFmtId="165" fontId="26" fillId="18" borderId="298" xfId="25" applyNumberFormat="1" applyFont="1" applyFill="1" applyBorder="1" applyAlignment="1">
      <alignment horizontal="left" vertical="center" wrapText="1" indent="2"/>
    </xf>
    <xf numFmtId="165" fontId="27" fillId="0" borderId="274" xfId="25" applyNumberFormat="1" applyFont="1" applyFill="1" applyBorder="1" applyAlignment="1">
      <alignment vertical="center" wrapText="1"/>
    </xf>
    <xf numFmtId="165" fontId="27" fillId="0" borderId="90" xfId="25" applyNumberFormat="1" applyFont="1" applyFill="1" applyBorder="1" applyAlignment="1">
      <alignment vertical="center" wrapText="1"/>
    </xf>
    <xf numFmtId="165" fontId="27" fillId="0" borderId="275" xfId="25" applyNumberFormat="1" applyFont="1" applyFill="1" applyBorder="1" applyAlignment="1">
      <alignment vertical="center" wrapText="1"/>
    </xf>
    <xf numFmtId="165" fontId="26" fillId="0" borderId="0" xfId="25" applyNumberFormat="1" applyFont="1" applyFill="1" applyAlignment="1">
      <alignment vertical="center" wrapText="1"/>
    </xf>
    <xf numFmtId="0" fontId="4" fillId="0" borderId="0" xfId="21"/>
    <xf numFmtId="3" fontId="44" fillId="0" borderId="301" xfId="21" applyNumberFormat="1" applyFont="1" applyBorder="1"/>
    <xf numFmtId="3" fontId="29" fillId="0" borderId="9" xfId="21" applyNumberFormat="1" applyFont="1" applyBorder="1"/>
    <xf numFmtId="3" fontId="29" fillId="0" borderId="301" xfId="21" applyNumberFormat="1" applyFont="1" applyBorder="1"/>
    <xf numFmtId="0" fontId="24" fillId="0" borderId="283" xfId="0" applyFont="1" applyBorder="1" applyAlignment="1" applyProtection="1">
      <alignment horizontal="center" vertical="center" wrapText="1"/>
    </xf>
    <xf numFmtId="0" fontId="12" fillId="0" borderId="284" xfId="0" applyFont="1" applyBorder="1" applyAlignment="1" applyProtection="1">
      <alignment horizontal="center" vertical="center"/>
    </xf>
    <xf numFmtId="0" fontId="10" fillId="0" borderId="302" xfId="0" applyFont="1" applyBorder="1" applyAlignment="1" applyProtection="1">
      <alignment horizontal="right" vertical="center" indent="1"/>
    </xf>
    <xf numFmtId="0" fontId="29" fillId="0" borderId="9" xfId="21" applyFont="1" applyBorder="1"/>
    <xf numFmtId="0" fontId="9" fillId="0" borderId="9" xfId="0" applyFont="1" applyBorder="1" applyAlignment="1" applyProtection="1">
      <alignment horizontal="left" vertical="center" indent="1"/>
      <protection locked="0"/>
    </xf>
    <xf numFmtId="0" fontId="10" fillId="0" borderId="8" xfId="0" applyFont="1" applyBorder="1" applyAlignment="1" applyProtection="1">
      <alignment horizontal="right" vertical="center" indent="1"/>
    </xf>
    <xf numFmtId="0" fontId="10" fillId="0" borderId="9" xfId="21" applyFont="1" applyFill="1" applyBorder="1" applyAlignment="1">
      <alignment horizontal="justify" vertical="center" wrapText="1"/>
    </xf>
    <xf numFmtId="0" fontId="10" fillId="0" borderId="261" xfId="21" applyFont="1" applyFill="1" applyBorder="1" applyAlignment="1">
      <alignment vertical="center" wrapText="1"/>
    </xf>
    <xf numFmtId="0" fontId="10" fillId="0" borderId="261" xfId="21" applyFont="1" applyFill="1" applyBorder="1" applyAlignment="1">
      <alignment horizontal="justify" vertical="center" wrapText="1"/>
    </xf>
    <xf numFmtId="0" fontId="23" fillId="0" borderId="9" xfId="21" applyFont="1" applyFill="1" applyBorder="1" applyAlignment="1">
      <alignment horizontal="left" vertical="center" wrapText="1" indent="2"/>
    </xf>
    <xf numFmtId="0" fontId="11" fillId="0" borderId="261" xfId="21" applyFont="1" applyFill="1" applyBorder="1" applyAlignment="1">
      <alignment vertical="center" wrapText="1"/>
    </xf>
    <xf numFmtId="3" fontId="29" fillId="0" borderId="261" xfId="21" applyNumberFormat="1" applyFont="1" applyBorder="1"/>
    <xf numFmtId="3" fontId="39" fillId="2" borderId="18" xfId="21" applyNumberFormat="1" applyFont="1" applyFill="1" applyBorder="1"/>
    <xf numFmtId="0" fontId="39" fillId="0" borderId="0" xfId="21" applyFont="1"/>
    <xf numFmtId="3" fontId="39" fillId="0" borderId="0" xfId="21" applyNumberFormat="1" applyFont="1"/>
    <xf numFmtId="0" fontId="38" fillId="0" borderId="54" xfId="21" applyFont="1" applyBorder="1" applyAlignment="1">
      <alignment horizontal="center" vertical="center"/>
    </xf>
    <xf numFmtId="3" fontId="38" fillId="0" borderId="55" xfId="21" applyNumberFormat="1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264" xfId="0" applyFont="1" applyBorder="1" applyAlignment="1">
      <alignment horizontal="center" vertical="center"/>
    </xf>
    <xf numFmtId="0" fontId="42" fillId="0" borderId="305" xfId="0" applyFont="1" applyBorder="1" applyAlignment="1">
      <alignment horizontal="left" wrapText="1" indent="2"/>
    </xf>
    <xf numFmtId="3" fontId="42" fillId="0" borderId="305" xfId="0" applyNumberFormat="1" applyFont="1" applyBorder="1"/>
    <xf numFmtId="0" fontId="44" fillId="0" borderId="33" xfId="0" applyFont="1" applyFill="1" applyBorder="1" applyAlignment="1">
      <alignment horizontal="center" vertical="center"/>
    </xf>
    <xf numFmtId="0" fontId="44" fillId="0" borderId="264" xfId="0" applyFont="1" applyFill="1" applyBorder="1" applyAlignment="1">
      <alignment horizontal="center" vertical="center"/>
    </xf>
    <xf numFmtId="0" fontId="44" fillId="0" borderId="305" xfId="0" applyFont="1" applyBorder="1" applyAlignment="1">
      <alignment wrapText="1"/>
    </xf>
    <xf numFmtId="3" fontId="44" fillId="0" borderId="305" xfId="0" applyNumberFormat="1" applyFont="1" applyBorder="1"/>
    <xf numFmtId="0" fontId="44" fillId="0" borderId="305" xfId="0" applyFont="1" applyFill="1" applyBorder="1" applyAlignment="1">
      <alignment wrapText="1"/>
    </xf>
    <xf numFmtId="3" fontId="44" fillId="0" borderId="305" xfId="0" applyNumberFormat="1" applyFont="1" applyFill="1" applyBorder="1"/>
    <xf numFmtId="0" fontId="44" fillId="0" borderId="262" xfId="0" applyFont="1" applyBorder="1" applyAlignment="1">
      <alignment horizontal="center" vertical="center"/>
    </xf>
    <xf numFmtId="0" fontId="44" fillId="0" borderId="306" xfId="0" applyFont="1" applyFill="1" applyBorder="1" applyAlignment="1">
      <alignment horizontal="center" vertical="center"/>
    </xf>
    <xf numFmtId="49" fontId="44" fillId="0" borderId="264" xfId="0" applyNumberFormat="1" applyFont="1" applyBorder="1" applyAlignment="1">
      <alignment horizontal="center" vertical="center"/>
    </xf>
    <xf numFmtId="0" fontId="44" fillId="0" borderId="262" xfId="0" applyFont="1" applyFill="1" applyBorder="1" applyAlignment="1">
      <alignment horizontal="center" vertical="center"/>
    </xf>
    <xf numFmtId="0" fontId="0" fillId="0" borderId="0" xfId="21" applyFont="1" applyFill="1"/>
    <xf numFmtId="0" fontId="44" fillId="0" borderId="307" xfId="0" applyFont="1" applyFill="1" applyBorder="1" applyAlignment="1">
      <alignment wrapText="1"/>
    </xf>
    <xf numFmtId="0" fontId="44" fillId="0" borderId="308" xfId="0" applyFont="1" applyBorder="1" applyAlignment="1">
      <alignment horizontal="center" vertical="center"/>
    </xf>
    <xf numFmtId="0" fontId="44" fillId="0" borderId="308" xfId="0" applyFont="1" applyFill="1" applyBorder="1" applyAlignment="1">
      <alignment horizontal="center" vertical="center"/>
    </xf>
    <xf numFmtId="0" fontId="44" fillId="0" borderId="309" xfId="0" applyFont="1" applyFill="1" applyBorder="1" applyAlignment="1">
      <alignment wrapText="1"/>
    </xf>
    <xf numFmtId="3" fontId="44" fillId="0" borderId="0" xfId="0" applyNumberFormat="1" applyFont="1" applyFill="1" applyBorder="1"/>
    <xf numFmtId="0" fontId="39" fillId="2" borderId="53" xfId="0" applyFont="1" applyFill="1" applyBorder="1" applyAlignment="1">
      <alignment wrapText="1"/>
    </xf>
    <xf numFmtId="0" fontId="39" fillId="2" borderId="54" xfId="0" applyFont="1" applyFill="1" applyBorder="1" applyAlignment="1">
      <alignment wrapText="1"/>
    </xf>
    <xf numFmtId="0" fontId="50" fillId="2" borderId="310" xfId="0" applyFont="1" applyFill="1" applyBorder="1" applyAlignment="1">
      <alignment horizontal="center" vertical="center"/>
    </xf>
    <xf numFmtId="0" fontId="39" fillId="2" borderId="311" xfId="0" applyFont="1" applyFill="1" applyBorder="1" applyAlignment="1">
      <alignment wrapText="1"/>
    </xf>
    <xf numFmtId="170" fontId="39" fillId="2" borderId="311" xfId="1" applyNumberFormat="1" applyFont="1" applyFill="1" applyBorder="1" applyAlignment="1" applyProtection="1">
      <alignment horizontal="right" wrapText="1"/>
    </xf>
    <xf numFmtId="0" fontId="29" fillId="0" borderId="0" xfId="21" applyFont="1" applyBorder="1" applyAlignment="1">
      <alignment horizontal="center" vertical="center"/>
    </xf>
    <xf numFmtId="0" fontId="44" fillId="0" borderId="0" xfId="21" applyFont="1" applyBorder="1" applyAlignment="1">
      <alignment horizontal="center" vertical="center"/>
    </xf>
    <xf numFmtId="0" fontId="29" fillId="0" borderId="0" xfId="21" applyFont="1" applyFill="1" applyBorder="1" applyAlignment="1">
      <alignment horizontal="center" wrapText="1"/>
    </xf>
    <xf numFmtId="0" fontId="44" fillId="0" borderId="310" xfId="21" applyFont="1" applyBorder="1" applyAlignment="1">
      <alignment horizontal="center" vertical="center"/>
    </xf>
    <xf numFmtId="0" fontId="44" fillId="0" borderId="303" xfId="21" applyFont="1" applyBorder="1" applyAlignment="1">
      <alignment horizontal="center" vertical="center"/>
    </xf>
    <xf numFmtId="0" fontId="29" fillId="0" borderId="299" xfId="21" applyFont="1" applyBorder="1" applyAlignment="1">
      <alignment horizontal="center"/>
    </xf>
    <xf numFmtId="0" fontId="29" fillId="0" borderId="300" xfId="21" applyFont="1" applyBorder="1" applyAlignment="1">
      <alignment horizontal="center" vertical="center"/>
    </xf>
    <xf numFmtId="0" fontId="29" fillId="0" borderId="301" xfId="21" applyFont="1" applyBorder="1" applyAlignment="1">
      <alignment wrapText="1"/>
    </xf>
    <xf numFmtId="49" fontId="44" fillId="0" borderId="299" xfId="21" applyNumberFormat="1" applyFont="1" applyBorder="1" applyAlignment="1">
      <alignment horizontal="center"/>
    </xf>
    <xf numFmtId="0" fontId="44" fillId="0" borderId="300" xfId="21" applyFont="1" applyBorder="1" applyAlignment="1">
      <alignment horizontal="center" vertical="center"/>
    </xf>
    <xf numFmtId="0" fontId="44" fillId="0" borderId="9" xfId="21" applyFont="1" applyBorder="1" applyAlignment="1">
      <alignment horizontal="left" wrapText="1" indent="2"/>
    </xf>
    <xf numFmtId="0" fontId="39" fillId="2" borderId="55" xfId="0" applyFont="1" applyFill="1" applyBorder="1" applyAlignment="1">
      <alignment wrapText="1"/>
    </xf>
    <xf numFmtId="0" fontId="29" fillId="0" borderId="306" xfId="21" applyFont="1" applyFill="1" applyBorder="1" applyAlignment="1">
      <alignment horizontal="center" wrapText="1"/>
    </xf>
    <xf numFmtId="0" fontId="39" fillId="0" borderId="306" xfId="21" applyFont="1" applyBorder="1"/>
    <xf numFmtId="3" fontId="39" fillId="0" borderId="306" xfId="21" applyNumberFormat="1" applyFont="1" applyBorder="1"/>
    <xf numFmtId="0" fontId="29" fillId="0" borderId="54" xfId="21" applyFont="1" applyBorder="1" applyAlignment="1">
      <alignment horizontal="center" vertical="center"/>
    </xf>
    <xf numFmtId="3" fontId="29" fillId="0" borderId="55" xfId="21" applyNumberFormat="1" applyFont="1" applyBorder="1" applyAlignment="1">
      <alignment horizontal="center" vertical="center"/>
    </xf>
    <xf numFmtId="0" fontId="29" fillId="0" borderId="53" xfId="21" applyFont="1" applyBorder="1" applyAlignment="1">
      <alignment horizontal="center" vertical="center"/>
    </xf>
    <xf numFmtId="0" fontId="42" fillId="0" borderId="303" xfId="0" applyFont="1" applyBorder="1" applyAlignment="1">
      <alignment horizontal="center" vertical="center"/>
    </xf>
    <xf numFmtId="0" fontId="44" fillId="0" borderId="299" xfId="0" applyFont="1" applyBorder="1" applyAlignment="1">
      <alignment horizontal="center" vertical="center"/>
    </xf>
    <xf numFmtId="0" fontId="29" fillId="2" borderId="53" xfId="0" applyFont="1" applyFill="1" applyBorder="1" applyAlignment="1">
      <alignment wrapText="1"/>
    </xf>
    <xf numFmtId="170" fontId="39" fillId="2" borderId="311" xfId="35" applyNumberFormat="1" applyFont="1" applyFill="1" applyBorder="1" applyAlignment="1" applyProtection="1">
      <alignment horizontal="right" wrapText="1"/>
    </xf>
    <xf numFmtId="0" fontId="0" fillId="0" borderId="0" xfId="21" applyFont="1"/>
    <xf numFmtId="0" fontId="39" fillId="0" borderId="0" xfId="21" applyFont="1" applyBorder="1"/>
    <xf numFmtId="3" fontId="39" fillId="0" borderId="0" xfId="21" applyNumberFormat="1" applyFont="1" applyBorder="1"/>
    <xf numFmtId="0" fontId="39" fillId="0" borderId="312" xfId="21" applyFont="1" applyBorder="1"/>
    <xf numFmtId="3" fontId="39" fillId="0" borderId="312" xfId="21" applyNumberFormat="1" applyFont="1" applyBorder="1"/>
    <xf numFmtId="3" fontId="105" fillId="0" borderId="33" xfId="21" applyNumberFormat="1" applyFont="1" applyBorder="1"/>
    <xf numFmtId="3" fontId="105" fillId="0" borderId="264" xfId="21" applyNumberFormat="1" applyFont="1" applyBorder="1"/>
    <xf numFmtId="3" fontId="105" fillId="0" borderId="9" xfId="21" applyNumberFormat="1" applyFont="1" applyBorder="1" applyAlignment="1">
      <alignment horizontal="left"/>
    </xf>
    <xf numFmtId="3" fontId="105" fillId="0" borderId="46" xfId="21" applyNumberFormat="1" applyFont="1" applyBorder="1" applyAlignment="1">
      <alignment horizontal="center"/>
    </xf>
    <xf numFmtId="0" fontId="44" fillId="0" borderId="4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wrapText="1"/>
    </xf>
    <xf numFmtId="0" fontId="29" fillId="19" borderId="33" xfId="21" applyFont="1" applyFill="1" applyBorder="1"/>
    <xf numFmtId="0" fontId="29" fillId="19" borderId="264" xfId="21" applyFont="1" applyFill="1" applyBorder="1"/>
    <xf numFmtId="0" fontId="29" fillId="19" borderId="9" xfId="21" applyFont="1" applyFill="1" applyBorder="1" applyAlignment="1">
      <alignment wrapText="1"/>
    </xf>
    <xf numFmtId="3" fontId="29" fillId="19" borderId="9" xfId="21" applyNumberFormat="1" applyFont="1" applyFill="1" applyBorder="1"/>
    <xf numFmtId="3" fontId="52" fillId="0" borderId="33" xfId="21" applyNumberFormat="1" applyFont="1" applyBorder="1"/>
    <xf numFmtId="3" fontId="52" fillId="0" borderId="264" xfId="21" applyNumberFormat="1" applyFont="1" applyBorder="1"/>
    <xf numFmtId="0" fontId="44" fillId="0" borderId="46" xfId="0" applyFont="1" applyBorder="1" applyAlignment="1">
      <alignment horizontal="center" vertical="center"/>
    </xf>
    <xf numFmtId="0" fontId="44" fillId="0" borderId="33" xfId="21" applyFont="1" applyBorder="1" applyAlignment="1">
      <alignment horizontal="center" vertical="center"/>
    </xf>
    <xf numFmtId="0" fontId="44" fillId="0" borderId="46" xfId="21" applyFont="1" applyFill="1" applyBorder="1" applyAlignment="1">
      <alignment horizontal="center" vertical="center"/>
    </xf>
    <xf numFmtId="0" fontId="44" fillId="0" borderId="46" xfId="21" applyFont="1" applyBorder="1" applyAlignment="1">
      <alignment horizontal="center" vertical="center"/>
    </xf>
    <xf numFmtId="0" fontId="44" fillId="0" borderId="9" xfId="21" applyFont="1" applyBorder="1" applyAlignment="1">
      <alignment wrapText="1"/>
    </xf>
    <xf numFmtId="0" fontId="4" fillId="0" borderId="33" xfId="21" applyBorder="1"/>
    <xf numFmtId="0" fontId="4" fillId="0" borderId="264" xfId="21" applyBorder="1"/>
    <xf numFmtId="0" fontId="29" fillId="19" borderId="262" xfId="21" applyFont="1" applyFill="1" applyBorder="1"/>
    <xf numFmtId="0" fontId="29" fillId="19" borderId="306" xfId="21" applyFont="1" applyFill="1" applyBorder="1"/>
    <xf numFmtId="0" fontId="29" fillId="19" borderId="261" xfId="21" applyFont="1" applyFill="1" applyBorder="1" applyAlignment="1">
      <alignment wrapText="1"/>
    </xf>
    <xf numFmtId="3" fontId="29" fillId="19" borderId="261" xfId="21" applyNumberFormat="1" applyFont="1" applyFill="1" applyBorder="1"/>
    <xf numFmtId="0" fontId="29" fillId="19" borderId="53" xfId="21" applyFont="1" applyFill="1" applyBorder="1"/>
    <xf numFmtId="0" fontId="29" fillId="19" borderId="54" xfId="21" applyFont="1" applyFill="1" applyBorder="1"/>
    <xf numFmtId="0" fontId="39" fillId="19" borderId="311" xfId="21" applyFont="1" applyFill="1" applyBorder="1" applyAlignment="1">
      <alignment wrapText="1"/>
    </xf>
    <xf numFmtId="3" fontId="39" fillId="19" borderId="304" xfId="21" applyNumberFormat="1" applyFont="1" applyFill="1" applyBorder="1"/>
    <xf numFmtId="0" fontId="106" fillId="0" borderId="0" xfId="21" applyFont="1"/>
    <xf numFmtId="3" fontId="106" fillId="0" borderId="0" xfId="21" applyNumberFormat="1" applyFont="1"/>
    <xf numFmtId="0" fontId="12" fillId="0" borderId="285" xfId="0" applyFont="1" applyBorder="1" applyAlignment="1" applyProtection="1">
      <alignment horizontal="center" wrapText="1"/>
    </xf>
    <xf numFmtId="0" fontId="107" fillId="0" borderId="9" xfId="21" applyFont="1" applyFill="1" applyBorder="1" applyAlignment="1">
      <alignment horizontal="left" vertical="center" wrapText="1" indent="3"/>
    </xf>
    <xf numFmtId="174" fontId="0" fillId="0" borderId="0" xfId="0" applyNumberFormat="1" applyFill="1" applyAlignment="1" applyProtection="1">
      <alignment vertical="center" wrapText="1"/>
    </xf>
    <xf numFmtId="175" fontId="24" fillId="0" borderId="0" xfId="0" applyNumberFormat="1" applyFont="1" applyFill="1" applyAlignment="1">
      <alignment vertical="center" wrapText="1"/>
    </xf>
    <xf numFmtId="0" fontId="44" fillId="0" borderId="313" xfId="0" applyFont="1" applyBorder="1" applyAlignment="1">
      <alignment wrapText="1"/>
    </xf>
    <xf numFmtId="3" fontId="44" fillId="0" borderId="313" xfId="0" applyNumberFormat="1" applyFont="1" applyBorder="1"/>
    <xf numFmtId="0" fontId="44" fillId="0" borderId="9" xfId="21" applyFont="1" applyBorder="1" applyAlignment="1">
      <alignment horizontal="left" vertical="center" wrapText="1"/>
    </xf>
    <xf numFmtId="0" fontId="44" fillId="0" borderId="9" xfId="21" applyFont="1" applyFill="1" applyBorder="1" applyAlignment="1">
      <alignment horizontal="left" vertical="center" wrapText="1"/>
    </xf>
    <xf numFmtId="3" fontId="44" fillId="0" borderId="313" xfId="0" applyNumberFormat="1" applyFont="1" applyFill="1" applyBorder="1"/>
    <xf numFmtId="0" fontId="44" fillId="0" borderId="313" xfId="0" applyFont="1" applyFill="1" applyBorder="1" applyAlignment="1">
      <alignment wrapText="1"/>
    </xf>
    <xf numFmtId="0" fontId="44" fillId="0" borderId="36" xfId="0" applyFont="1" applyBorder="1" applyAlignment="1">
      <alignment horizontal="center" vertical="center"/>
    </xf>
    <xf numFmtId="170" fontId="4" fillId="0" borderId="0" xfId="21" applyNumberFormat="1"/>
    <xf numFmtId="0" fontId="44" fillId="0" borderId="78" xfId="0" applyFont="1" applyBorder="1" applyAlignment="1">
      <alignment wrapText="1"/>
    </xf>
    <xf numFmtId="3" fontId="44" fillId="0" borderId="78" xfId="0" applyNumberFormat="1" applyFont="1" applyBorder="1"/>
    <xf numFmtId="0" fontId="44" fillId="0" borderId="78" xfId="0" applyFont="1" applyFill="1" applyBorder="1" applyAlignment="1">
      <alignment wrapText="1"/>
    </xf>
    <xf numFmtId="3" fontId="44" fillId="0" borderId="78" xfId="0" applyNumberFormat="1" applyFont="1" applyFill="1" applyBorder="1"/>
    <xf numFmtId="0" fontId="44" fillId="0" borderId="78" xfId="0" applyFont="1" applyBorder="1" applyAlignment="1">
      <alignment horizontal="left" wrapText="1" indent="2"/>
    </xf>
    <xf numFmtId="165" fontId="100" fillId="0" borderId="0" xfId="25" applyNumberFormat="1" applyFill="1" applyAlignment="1">
      <alignment horizontal="center" vertical="center" wrapText="1"/>
    </xf>
    <xf numFmtId="0" fontId="10" fillId="0" borderId="0" xfId="43" applyFont="1" applyFill="1"/>
    <xf numFmtId="165" fontId="11" fillId="0" borderId="0" xfId="43" applyNumberFormat="1" applyFont="1" applyFill="1" applyBorder="1" applyAlignment="1" applyProtection="1">
      <alignment horizontal="center" vertical="center"/>
    </xf>
    <xf numFmtId="0" fontId="17" fillId="0" borderId="0" xfId="42" applyFont="1" applyFill="1" applyBorder="1" applyAlignment="1" applyProtection="1"/>
    <xf numFmtId="0" fontId="12" fillId="0" borderId="27" xfId="43" applyFont="1" applyFill="1" applyBorder="1" applyAlignment="1">
      <alignment horizontal="center" vertical="center" wrapText="1"/>
    </xf>
    <xf numFmtId="0" fontId="0" fillId="0" borderId="283" xfId="43" applyFont="1" applyFill="1" applyBorder="1" applyAlignment="1">
      <alignment horizontal="center" vertical="center"/>
    </xf>
    <xf numFmtId="0" fontId="0" fillId="0" borderId="284" xfId="43" applyFont="1" applyFill="1" applyBorder="1" applyAlignment="1">
      <alignment horizontal="center" vertical="center"/>
    </xf>
    <xf numFmtId="0" fontId="0" fillId="0" borderId="285" xfId="43" applyFont="1" applyFill="1" applyBorder="1" applyAlignment="1">
      <alignment horizontal="center" vertical="center"/>
    </xf>
    <xf numFmtId="0" fontId="11" fillId="0" borderId="302" xfId="43" applyFont="1" applyFill="1" applyBorder="1" applyAlignment="1">
      <alignment horizontal="center" vertical="center"/>
    </xf>
    <xf numFmtId="0" fontId="12" fillId="0" borderId="301" xfId="43" applyFont="1" applyFill="1" applyBorder="1" applyAlignment="1" applyProtection="1">
      <alignment wrapText="1"/>
      <protection locked="0"/>
    </xf>
    <xf numFmtId="170" fontId="12" fillId="0" borderId="301" xfId="36" applyNumberFormat="1" applyFont="1" applyFill="1" applyBorder="1" applyAlignment="1" applyProtection="1">
      <protection locked="0"/>
    </xf>
    <xf numFmtId="170" fontId="12" fillId="0" borderId="293" xfId="36" applyNumberFormat="1" applyFont="1" applyFill="1" applyBorder="1" applyAlignment="1" applyProtection="1"/>
    <xf numFmtId="0" fontId="9" fillId="0" borderId="301" xfId="43" applyFont="1" applyFill="1" applyBorder="1" applyAlignment="1" applyProtection="1">
      <alignment wrapText="1"/>
      <protection locked="0"/>
    </xf>
    <xf numFmtId="170" fontId="9" fillId="0" borderId="301" xfId="36" applyNumberFormat="1" applyFont="1" applyFill="1" applyBorder="1" applyAlignment="1" applyProtection="1">
      <protection locked="0"/>
    </xf>
    <xf numFmtId="170" fontId="9" fillId="0" borderId="293" xfId="36" applyNumberFormat="1" applyFont="1" applyFill="1" applyBorder="1" applyAlignment="1" applyProtection="1"/>
    <xf numFmtId="0" fontId="11" fillId="0" borderId="8" xfId="43" applyFont="1" applyFill="1" applyBorder="1" applyAlignment="1">
      <alignment horizontal="center" vertical="center"/>
    </xf>
    <xf numFmtId="170" fontId="9" fillId="0" borderId="9" xfId="36" applyNumberFormat="1" applyFont="1" applyFill="1" applyBorder="1" applyAlignment="1" applyProtection="1">
      <protection locked="0"/>
    </xf>
    <xf numFmtId="170" fontId="9" fillId="0" borderId="10" xfId="36" applyNumberFormat="1" applyFont="1" applyFill="1" applyBorder="1" applyAlignment="1" applyProtection="1"/>
    <xf numFmtId="0" fontId="9" fillId="0" borderId="9" xfId="43" applyFont="1" applyFill="1" applyBorder="1" applyAlignment="1" applyProtection="1">
      <alignment wrapText="1"/>
      <protection locked="0"/>
    </xf>
    <xf numFmtId="0" fontId="11" fillId="0" borderId="14" xfId="43" applyFont="1" applyFill="1" applyBorder="1" applyAlignment="1">
      <alignment horizontal="center" vertical="center"/>
    </xf>
    <xf numFmtId="0" fontId="9" fillId="0" borderId="15" xfId="43" applyFont="1" applyFill="1" applyBorder="1" applyAlignment="1" applyProtection="1">
      <alignment wrapText="1"/>
      <protection locked="0"/>
    </xf>
    <xf numFmtId="0" fontId="0" fillId="2" borderId="283" xfId="43" applyFont="1" applyFill="1" applyBorder="1" applyAlignment="1">
      <alignment horizontal="center" vertical="center"/>
    </xf>
    <xf numFmtId="0" fontId="12" fillId="2" borderId="284" xfId="43" applyFont="1" applyFill="1" applyBorder="1"/>
    <xf numFmtId="170" fontId="9" fillId="2" borderId="284" xfId="43" applyNumberFormat="1" applyFont="1" applyFill="1" applyBorder="1"/>
    <xf numFmtId="0" fontId="54" fillId="0" borderId="0" xfId="37" applyFont="1" applyAlignment="1">
      <alignment vertical="center"/>
    </xf>
    <xf numFmtId="0" fontId="46" fillId="0" borderId="0" xfId="37" applyFont="1" applyAlignment="1">
      <alignment vertical="center"/>
    </xf>
    <xf numFmtId="3" fontId="46" fillId="0" borderId="0" xfId="37" applyNumberFormat="1" applyFont="1" applyAlignment="1">
      <alignment vertical="center"/>
    </xf>
    <xf numFmtId="3" fontId="60" fillId="0" borderId="0" xfId="37" applyNumberFormat="1" applyFont="1" applyAlignment="1">
      <alignment horizontal="right" vertical="center"/>
    </xf>
    <xf numFmtId="0" fontId="54" fillId="0" borderId="0" xfId="37" applyFont="1" applyAlignment="1">
      <alignment horizontal="center" vertical="center"/>
    </xf>
    <xf numFmtId="0" fontId="60" fillId="0" borderId="286" xfId="46" applyFont="1" applyFill="1" applyBorder="1" applyAlignment="1">
      <alignment vertical="center"/>
    </xf>
    <xf numFmtId="0" fontId="60" fillId="0" borderId="315" xfId="46" applyNumberFormat="1" applyFont="1" applyFill="1" applyBorder="1" applyAlignment="1">
      <alignment horizontal="center" vertical="center"/>
    </xf>
    <xf numFmtId="3" fontId="60" fillId="0" borderId="315" xfId="46" applyNumberFormat="1" applyFont="1" applyFill="1" applyBorder="1" applyAlignment="1">
      <alignment vertical="center"/>
    </xf>
    <xf numFmtId="3" fontId="54" fillId="0" borderId="0" xfId="37" applyNumberFormat="1" applyFont="1" applyAlignment="1">
      <alignment vertical="center"/>
    </xf>
    <xf numFmtId="0" fontId="60" fillId="3" borderId="59" xfId="37" applyFont="1" applyFill="1" applyBorder="1" applyAlignment="1">
      <alignment vertical="center"/>
    </xf>
    <xf numFmtId="0" fontId="60" fillId="3" borderId="32" xfId="46" applyNumberFormat="1" applyFont="1" applyFill="1" applyBorder="1" applyAlignment="1">
      <alignment horizontal="center" vertical="center"/>
    </xf>
    <xf numFmtId="3" fontId="60" fillId="3" borderId="32" xfId="37" applyNumberFormat="1" applyFont="1" applyFill="1" applyBorder="1" applyAlignment="1">
      <alignment vertical="center"/>
    </xf>
    <xf numFmtId="0" fontId="46" fillId="3" borderId="59" xfId="37" applyFont="1" applyFill="1" applyBorder="1" applyAlignment="1">
      <alignment vertical="center"/>
    </xf>
    <xf numFmtId="0" fontId="46" fillId="3" borderId="32" xfId="46" applyNumberFormat="1" applyFont="1" applyFill="1" applyBorder="1" applyAlignment="1">
      <alignment horizontal="center" vertical="center"/>
    </xf>
    <xf numFmtId="3" fontId="46" fillId="3" borderId="32" xfId="37" applyNumberFormat="1" applyFont="1" applyFill="1" applyBorder="1" applyAlignment="1">
      <alignment vertical="center"/>
    </xf>
    <xf numFmtId="49" fontId="46" fillId="3" borderId="59" xfId="37" applyNumberFormat="1" applyFont="1" applyFill="1" applyBorder="1" applyAlignment="1">
      <alignment vertical="center"/>
    </xf>
    <xf numFmtId="0" fontId="60" fillId="0" borderId="60" xfId="37" applyFont="1" applyFill="1" applyBorder="1" applyAlignment="1">
      <alignment vertical="center"/>
    </xf>
    <xf numFmtId="0" fontId="60" fillId="0" borderId="316" xfId="46" applyNumberFormat="1" applyFont="1" applyFill="1" applyBorder="1" applyAlignment="1">
      <alignment horizontal="center" vertical="center"/>
    </xf>
    <xf numFmtId="3" fontId="60" fillId="0" borderId="316" xfId="37" applyNumberFormat="1" applyFont="1" applyFill="1" applyBorder="1" applyAlignment="1">
      <alignment vertical="center"/>
    </xf>
    <xf numFmtId="0" fontId="60" fillId="0" borderId="289" xfId="37" applyFont="1" applyFill="1" applyBorder="1" applyAlignment="1">
      <alignment vertical="center"/>
    </xf>
    <xf numFmtId="0" fontId="60" fillId="0" borderId="314" xfId="46" applyNumberFormat="1" applyFont="1" applyFill="1" applyBorder="1" applyAlignment="1">
      <alignment horizontal="center" vertical="center"/>
    </xf>
    <xf numFmtId="3" fontId="60" fillId="0" borderId="314" xfId="37" applyNumberFormat="1" applyFont="1" applyFill="1" applyBorder="1" applyAlignment="1">
      <alignment vertical="center"/>
    </xf>
    <xf numFmtId="3" fontId="60" fillId="0" borderId="32" xfId="37" applyNumberFormat="1" applyFont="1" applyFill="1" applyBorder="1" applyAlignment="1">
      <alignment vertical="center"/>
    </xf>
    <xf numFmtId="3" fontId="46" fillId="0" borderId="32" xfId="37" applyNumberFormat="1" applyFont="1" applyFill="1" applyBorder="1" applyAlignment="1">
      <alignment vertical="center"/>
    </xf>
    <xf numFmtId="49" fontId="46" fillId="0" borderId="302" xfId="44" applyNumberFormat="1" applyFont="1" applyFill="1" applyBorder="1" applyAlignment="1" applyProtection="1">
      <alignment horizontal="left" vertical="center" wrapText="1" indent="1"/>
    </xf>
    <xf numFmtId="49" fontId="46" fillId="0" borderId="8" xfId="44" applyNumberFormat="1" applyFont="1" applyFill="1" applyBorder="1" applyAlignment="1" applyProtection="1">
      <alignment horizontal="left" vertical="center" wrapText="1" indent="1"/>
    </xf>
    <xf numFmtId="49" fontId="46" fillId="3" borderId="59" xfId="37" applyNumberFormat="1" applyFont="1" applyFill="1" applyBorder="1" applyAlignment="1">
      <alignment vertical="center" wrapText="1"/>
    </xf>
    <xf numFmtId="0" fontId="60" fillId="0" borderId="314" xfId="37" applyFont="1" applyBorder="1" applyAlignment="1" applyProtection="1">
      <alignment horizontal="left" vertical="center" wrapText="1"/>
    </xf>
    <xf numFmtId="0" fontId="60" fillId="0" borderId="317" xfId="37" applyFont="1" applyBorder="1" applyAlignment="1" applyProtection="1">
      <alignment horizontal="left" vertical="center" wrapText="1"/>
    </xf>
    <xf numFmtId="0" fontId="60" fillId="0" borderId="317" xfId="46" applyNumberFormat="1" applyFont="1" applyFill="1" applyBorder="1" applyAlignment="1">
      <alignment horizontal="center" vertical="center"/>
    </xf>
    <xf numFmtId="3" fontId="60" fillId="0" borderId="317" xfId="37" applyNumberFormat="1" applyFont="1" applyFill="1" applyBorder="1" applyAlignment="1">
      <alignment vertical="center"/>
    </xf>
    <xf numFmtId="0" fontId="54" fillId="0" borderId="0" xfId="37" applyFont="1" applyFill="1" applyAlignment="1">
      <alignment vertical="center"/>
    </xf>
    <xf numFmtId="0" fontId="60" fillId="0" borderId="289" xfId="46" applyNumberFormat="1" applyFont="1" applyFill="1" applyBorder="1" applyAlignment="1">
      <alignment horizontal="center" vertical="center"/>
    </xf>
    <xf numFmtId="3" fontId="60" fillId="0" borderId="213" xfId="37" applyNumberFormat="1" applyFont="1" applyFill="1" applyBorder="1" applyAlignment="1">
      <alignment vertical="center"/>
    </xf>
    <xf numFmtId="0" fontId="46" fillId="0" borderId="315" xfId="37" applyFont="1" applyBorder="1" applyAlignment="1" applyProtection="1">
      <alignment horizontal="left" vertical="center" wrapText="1"/>
    </xf>
    <xf numFmtId="3" fontId="60" fillId="0" borderId="31" xfId="37" applyNumberFormat="1" applyFont="1" applyFill="1" applyBorder="1" applyAlignment="1">
      <alignment vertical="center"/>
    </xf>
    <xf numFmtId="3" fontId="60" fillId="0" borderId="315" xfId="37" applyNumberFormat="1" applyFont="1" applyFill="1" applyBorder="1" applyAlignment="1">
      <alignment vertical="center"/>
    </xf>
    <xf numFmtId="0" fontId="60" fillId="0" borderId="31" xfId="46" applyNumberFormat="1" applyFont="1" applyFill="1" applyBorder="1" applyAlignment="1">
      <alignment horizontal="center" vertical="center"/>
    </xf>
    <xf numFmtId="0" fontId="46" fillId="0" borderId="32" xfId="46" applyNumberFormat="1" applyFont="1" applyFill="1" applyBorder="1" applyAlignment="1">
      <alignment horizontal="center" vertical="center"/>
    </xf>
    <xf numFmtId="49" fontId="46" fillId="0" borderId="31" xfId="46" applyNumberFormat="1" applyFont="1" applyFill="1" applyBorder="1" applyAlignment="1">
      <alignment horizontal="center" vertical="center"/>
    </xf>
    <xf numFmtId="0" fontId="46" fillId="0" borderId="31" xfId="46" applyNumberFormat="1" applyFont="1" applyFill="1" applyBorder="1" applyAlignment="1">
      <alignment horizontal="center" vertical="center"/>
    </xf>
    <xf numFmtId="0" fontId="46" fillId="0" borderId="32" xfId="37" applyFont="1" applyBorder="1" applyAlignment="1" applyProtection="1">
      <alignment horizontal="left" vertical="center" wrapText="1"/>
    </xf>
    <xf numFmtId="0" fontId="60" fillId="0" borderId="32" xfId="46" applyNumberFormat="1" applyFont="1" applyFill="1" applyBorder="1" applyAlignment="1">
      <alignment horizontal="center" vertical="center"/>
    </xf>
    <xf numFmtId="0" fontId="46" fillId="0" borderId="316" xfId="37" applyFont="1" applyBorder="1" applyAlignment="1" applyProtection="1">
      <alignment horizontal="left" vertical="center" wrapText="1"/>
    </xf>
    <xf numFmtId="49" fontId="46" fillId="0" borderId="32" xfId="46" applyNumberFormat="1" applyFont="1" applyFill="1" applyBorder="1" applyAlignment="1">
      <alignment horizontal="center" vertical="center"/>
    </xf>
    <xf numFmtId="0" fontId="60" fillId="20" borderId="314" xfId="37" applyFont="1" applyFill="1" applyBorder="1" applyAlignment="1">
      <alignment vertical="center"/>
    </xf>
    <xf numFmtId="0" fontId="60" fillId="20" borderId="314" xfId="46" applyFont="1" applyFill="1" applyBorder="1" applyAlignment="1">
      <alignment horizontal="center" vertical="center"/>
    </xf>
    <xf numFmtId="3" fontId="46" fillId="20" borderId="314" xfId="37" applyNumberFormat="1" applyFont="1" applyFill="1" applyBorder="1" applyAlignment="1">
      <alignment vertical="center"/>
    </xf>
    <xf numFmtId="3" fontId="46" fillId="20" borderId="213" xfId="37" applyNumberFormat="1" applyFont="1" applyFill="1" applyBorder="1" applyAlignment="1">
      <alignment vertical="center"/>
    </xf>
    <xf numFmtId="3" fontId="60" fillId="20" borderId="314" xfId="37" applyNumberFormat="1" applyFont="1" applyFill="1" applyBorder="1" applyAlignment="1">
      <alignment vertical="center"/>
    </xf>
    <xf numFmtId="3" fontId="60" fillId="20" borderId="213" xfId="37" applyNumberFormat="1" applyFont="1" applyFill="1" applyBorder="1" applyAlignment="1">
      <alignment vertical="center"/>
    </xf>
    <xf numFmtId="0" fontId="60" fillId="0" borderId="31" xfId="46" applyFont="1" applyFill="1" applyBorder="1" applyAlignment="1">
      <alignment vertical="center"/>
    </xf>
    <xf numFmtId="0" fontId="60" fillId="0" borderId="31" xfId="46" applyFont="1" applyFill="1" applyBorder="1" applyAlignment="1">
      <alignment horizontal="center" vertical="center"/>
    </xf>
    <xf numFmtId="0" fontId="60" fillId="0" borderId="32" xfId="46" applyFont="1" applyFill="1" applyBorder="1" applyAlignment="1">
      <alignment vertical="center"/>
    </xf>
    <xf numFmtId="0" fontId="60" fillId="0" borderId="32" xfId="46" applyFont="1" applyFill="1" applyBorder="1" applyAlignment="1">
      <alignment horizontal="center" vertical="center"/>
    </xf>
    <xf numFmtId="0" fontId="60" fillId="0" borderId="318" xfId="46" applyFont="1" applyFill="1" applyBorder="1" applyAlignment="1">
      <alignment vertical="center"/>
    </xf>
    <xf numFmtId="0" fontId="60" fillId="0" borderId="318" xfId="46" applyFont="1" applyFill="1" applyBorder="1" applyAlignment="1">
      <alignment horizontal="center" vertical="center"/>
    </xf>
    <xf numFmtId="0" fontId="60" fillId="0" borderId="31" xfId="37" applyFont="1" applyFill="1" applyBorder="1" applyAlignment="1">
      <alignment vertical="center"/>
    </xf>
    <xf numFmtId="0" fontId="60" fillId="0" borderId="32" xfId="37" applyFont="1" applyFill="1" applyBorder="1" applyAlignment="1">
      <alignment vertical="center"/>
    </xf>
    <xf numFmtId="0" fontId="60" fillId="0" borderId="318" xfId="37" applyFont="1" applyFill="1" applyBorder="1" applyAlignment="1">
      <alignment vertical="center"/>
    </xf>
    <xf numFmtId="0" fontId="46" fillId="0" borderId="0" xfId="46" applyFont="1" applyFill="1" applyBorder="1" applyAlignment="1">
      <alignment vertical="center"/>
    </xf>
    <xf numFmtId="0" fontId="60" fillId="0" borderId="289" xfId="37" applyFont="1" applyBorder="1" applyAlignment="1">
      <alignment vertical="center"/>
    </xf>
    <xf numFmtId="0" fontId="60" fillId="0" borderId="314" xfId="46" applyFont="1" applyFill="1" applyBorder="1" applyAlignment="1">
      <alignment horizontal="center" vertical="center"/>
    </xf>
    <xf numFmtId="3" fontId="60" fillId="0" borderId="314" xfId="37" applyNumberFormat="1" applyFont="1" applyBorder="1" applyAlignment="1">
      <alignment vertical="center"/>
    </xf>
    <xf numFmtId="0" fontId="46" fillId="0" borderId="319" xfId="37" applyFont="1" applyBorder="1" applyAlignment="1">
      <alignment vertical="center"/>
    </xf>
    <xf numFmtId="0" fontId="46" fillId="0" borderId="31" xfId="46" applyFont="1" applyFill="1" applyBorder="1" applyAlignment="1">
      <alignment horizontal="center" vertical="center"/>
    </xf>
    <xf numFmtId="3" fontId="46" fillId="0" borderId="31" xfId="37" applyNumberFormat="1" applyFont="1" applyBorder="1" applyAlignment="1">
      <alignment vertical="center"/>
    </xf>
    <xf numFmtId="0" fontId="46" fillId="0" borderId="37" xfId="37" applyFont="1" applyBorder="1" applyAlignment="1">
      <alignment vertical="center"/>
    </xf>
    <xf numFmtId="0" fontId="46" fillId="0" borderId="318" xfId="46" applyFont="1" applyFill="1" applyBorder="1" applyAlignment="1">
      <alignment horizontal="center" vertical="center"/>
    </xf>
    <xf numFmtId="3" fontId="46" fillId="0" borderId="318" xfId="37" applyNumberFormat="1" applyFont="1" applyBorder="1" applyAlignment="1">
      <alignment vertical="center"/>
    </xf>
    <xf numFmtId="0" fontId="46" fillId="0" borderId="286" xfId="37" applyFont="1" applyBorder="1" applyAlignment="1">
      <alignment vertical="center"/>
    </xf>
    <xf numFmtId="0" fontId="46" fillId="0" borderId="315" xfId="46" applyFont="1" applyFill="1" applyBorder="1" applyAlignment="1">
      <alignment horizontal="center" vertical="center"/>
    </xf>
    <xf numFmtId="3" fontId="46" fillId="0" borderId="315" xfId="37" applyNumberFormat="1" applyFont="1" applyBorder="1" applyAlignment="1">
      <alignment vertical="center"/>
    </xf>
    <xf numFmtId="0" fontId="46" fillId="0" borderId="59" xfId="37" applyFont="1" applyBorder="1" applyAlignment="1">
      <alignment vertical="center"/>
    </xf>
    <xf numFmtId="0" fontId="46" fillId="0" borderId="32" xfId="46" applyFont="1" applyFill="1" applyBorder="1" applyAlignment="1">
      <alignment horizontal="center" vertical="center"/>
    </xf>
    <xf numFmtId="3" fontId="46" fillId="0" borderId="32" xfId="37" applyNumberFormat="1" applyFont="1" applyBorder="1" applyAlignment="1">
      <alignment vertical="center"/>
    </xf>
    <xf numFmtId="0" fontId="60" fillId="0" borderId="289" xfId="37" applyFont="1" applyBorder="1" applyAlignment="1">
      <alignment vertical="center" wrapText="1"/>
    </xf>
    <xf numFmtId="0" fontId="46" fillId="0" borderId="60" xfId="37" applyFont="1" applyBorder="1" applyAlignment="1">
      <alignment vertical="center"/>
    </xf>
    <xf numFmtId="0" fontId="46" fillId="0" borderId="316" xfId="46" applyFont="1" applyFill="1" applyBorder="1" applyAlignment="1">
      <alignment horizontal="center" vertical="center"/>
    </xf>
    <xf numFmtId="3" fontId="46" fillId="0" borderId="316" xfId="37" applyNumberFormat="1" applyFont="1" applyBorder="1" applyAlignment="1">
      <alignment vertical="center"/>
    </xf>
    <xf numFmtId="3" fontId="38" fillId="0" borderId="0" xfId="37" applyNumberFormat="1" applyFont="1" applyAlignment="1">
      <alignment horizontal="right" vertical="center"/>
    </xf>
    <xf numFmtId="0" fontId="54" fillId="0" borderId="31" xfId="37" applyFont="1" applyBorder="1" applyAlignment="1">
      <alignment vertical="center"/>
    </xf>
    <xf numFmtId="0" fontId="38" fillId="0" borderId="31" xfId="37" applyFont="1" applyBorder="1" applyAlignment="1">
      <alignment horizontal="center" vertical="center"/>
    </xf>
    <xf numFmtId="3" fontId="54" fillId="0" borderId="31" xfId="37" applyNumberFormat="1" applyFont="1" applyBorder="1" applyAlignment="1">
      <alignment vertical="center"/>
    </xf>
    <xf numFmtId="3" fontId="54" fillId="0" borderId="320" xfId="37" applyNumberFormat="1" applyFont="1" applyFill="1" applyBorder="1" applyAlignment="1">
      <alignment vertical="center"/>
    </xf>
    <xf numFmtId="0" fontId="54" fillId="0" borderId="32" xfId="37" applyFont="1" applyBorder="1" applyAlignment="1">
      <alignment vertical="center"/>
    </xf>
    <xf numFmtId="0" fontId="38" fillId="0" borderId="32" xfId="37" applyFont="1" applyBorder="1" applyAlignment="1">
      <alignment horizontal="center" vertical="center"/>
    </xf>
    <xf numFmtId="3" fontId="54" fillId="0" borderId="32" xfId="37" applyNumberFormat="1" applyFont="1" applyBorder="1" applyAlignment="1">
      <alignment vertical="center"/>
    </xf>
    <xf numFmtId="3" fontId="54" fillId="0" borderId="77" xfId="37" applyNumberFormat="1" applyFont="1" applyFill="1" applyBorder="1" applyAlignment="1">
      <alignment vertical="center"/>
    </xf>
    <xf numFmtId="11" fontId="54" fillId="0" borderId="32" xfId="37" applyNumberFormat="1" applyFont="1" applyBorder="1" applyAlignment="1">
      <alignment vertical="center"/>
    </xf>
    <xf numFmtId="0" fontId="38" fillId="20" borderId="314" xfId="37" applyFont="1" applyFill="1" applyBorder="1" applyAlignment="1">
      <alignment vertical="center"/>
    </xf>
    <xf numFmtId="0" fontId="38" fillId="20" borderId="314" xfId="46" applyFont="1" applyFill="1" applyBorder="1" applyAlignment="1">
      <alignment horizontal="center" vertical="center"/>
    </xf>
    <xf numFmtId="3" fontId="38" fillId="20" borderId="314" xfId="37" applyNumberFormat="1" applyFont="1" applyFill="1" applyBorder="1" applyAlignment="1">
      <alignment vertical="center"/>
    </xf>
    <xf numFmtId="3" fontId="38" fillId="20" borderId="213" xfId="37" applyNumberFormat="1" applyFont="1" applyFill="1" applyBorder="1" applyAlignment="1">
      <alignment vertical="center"/>
    </xf>
    <xf numFmtId="0" fontId="60" fillId="0" borderId="0" xfId="37" applyFont="1" applyBorder="1" applyAlignment="1">
      <alignment horizontal="center" vertical="center" wrapText="1"/>
    </xf>
    <xf numFmtId="0" fontId="46" fillId="0" borderId="0" xfId="45" applyFont="1" applyFill="1" applyBorder="1" applyAlignment="1">
      <alignment horizontal="left" vertical="center"/>
    </xf>
    <xf numFmtId="0" fontId="46" fillId="0" borderId="31" xfId="37" applyFont="1" applyBorder="1" applyAlignment="1">
      <alignment vertical="center"/>
    </xf>
    <xf numFmtId="0" fontId="60" fillId="0" borderId="31" xfId="37" applyFont="1" applyBorder="1" applyAlignment="1">
      <alignment horizontal="center" vertical="center"/>
    </xf>
    <xf numFmtId="3" fontId="46" fillId="0" borderId="320" xfId="37" applyNumberFormat="1" applyFont="1" applyFill="1" applyBorder="1" applyAlignment="1">
      <alignment vertical="center"/>
    </xf>
    <xf numFmtId="0" fontId="46" fillId="0" borderId="32" xfId="37" applyFont="1" applyBorder="1" applyAlignment="1">
      <alignment vertical="center"/>
    </xf>
    <xf numFmtId="0" fontId="60" fillId="0" borderId="32" xfId="37" applyFont="1" applyBorder="1" applyAlignment="1">
      <alignment horizontal="center" vertical="center"/>
    </xf>
    <xf numFmtId="3" fontId="46" fillId="0" borderId="77" xfId="37" applyNumberFormat="1" applyFont="1" applyFill="1" applyBorder="1" applyAlignment="1">
      <alignment vertical="center"/>
    </xf>
    <xf numFmtId="0" fontId="46" fillId="0" borderId="0" xfId="45" applyFont="1" applyFill="1" applyBorder="1" applyAlignment="1">
      <alignment vertical="center"/>
    </xf>
    <xf numFmtId="0" fontId="13" fillId="0" borderId="301" xfId="26" applyFont="1" applyFill="1" applyBorder="1" applyAlignment="1" applyProtection="1">
      <alignment horizontal="left" vertical="center" wrapText="1" indent="1"/>
    </xf>
    <xf numFmtId="165" fontId="13" fillId="0" borderId="301" xfId="26" applyNumberFormat="1" applyFont="1" applyFill="1" applyBorder="1" applyAlignment="1" applyProtection="1">
      <alignment vertical="center"/>
      <protection locked="0"/>
    </xf>
    <xf numFmtId="0" fontId="13" fillId="0" borderId="301" xfId="26" applyFont="1" applyFill="1" applyBorder="1" applyAlignment="1" applyProtection="1">
      <alignment horizontal="left" vertical="center" indent="1"/>
    </xf>
    <xf numFmtId="165" fontId="27" fillId="0" borderId="321" xfId="25" applyNumberFormat="1" applyFont="1" applyFill="1" applyBorder="1" applyAlignment="1">
      <alignment horizontal="center" vertical="center"/>
    </xf>
    <xf numFmtId="165" fontId="27" fillId="0" borderId="322" xfId="25" applyNumberFormat="1" applyFont="1" applyFill="1" applyBorder="1" applyAlignment="1">
      <alignment horizontal="center" vertical="center" wrapText="1"/>
    </xf>
    <xf numFmtId="165" fontId="12" fillId="0" borderId="323" xfId="25" applyNumberFormat="1" applyFont="1" applyFill="1" applyBorder="1" applyAlignment="1">
      <alignment horizontal="center" vertical="center" wrapText="1"/>
    </xf>
    <xf numFmtId="165" fontId="9" fillId="0" borderId="324" xfId="25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324" xfId="25" applyNumberFormat="1" applyFont="1" applyFill="1" applyBorder="1" applyAlignment="1" applyProtection="1">
      <alignment horizontal="left" vertical="center" wrapText="1" indent="2"/>
      <protection locked="0"/>
    </xf>
    <xf numFmtId="165" fontId="9" fillId="0" borderId="323" xfId="25" applyNumberFormat="1" applyFont="1" applyFill="1" applyBorder="1" applyAlignment="1" applyProtection="1">
      <alignment vertical="center" wrapText="1"/>
      <protection locked="0"/>
    </xf>
    <xf numFmtId="165" fontId="9" fillId="0" borderId="325" xfId="25" applyNumberFormat="1" applyFont="1" applyFill="1" applyBorder="1" applyAlignment="1" applyProtection="1">
      <alignment vertical="center" wrapText="1"/>
      <protection locked="0"/>
    </xf>
    <xf numFmtId="165" fontId="9" fillId="0" borderId="324" xfId="25" applyNumberFormat="1" applyFont="1" applyFill="1" applyBorder="1" applyAlignment="1" applyProtection="1">
      <alignment vertical="center" wrapText="1"/>
      <protection locked="0"/>
    </xf>
    <xf numFmtId="165" fontId="9" fillId="0" borderId="326" xfId="25" applyNumberFormat="1" applyFont="1" applyFill="1" applyBorder="1" applyAlignment="1" applyProtection="1">
      <alignment vertical="center" wrapText="1"/>
      <protection locked="0"/>
    </xf>
    <xf numFmtId="165" fontId="9" fillId="0" borderId="324" xfId="25" applyNumberFormat="1" applyFont="1" applyFill="1" applyBorder="1" applyAlignment="1">
      <alignment vertical="center" wrapText="1"/>
    </xf>
    <xf numFmtId="165" fontId="9" fillId="0" borderId="324" xfId="25" applyNumberFormat="1" applyFont="1" applyFill="1" applyBorder="1" applyAlignment="1">
      <alignment horizontal="left" vertical="center" wrapText="1" indent="1"/>
    </xf>
    <xf numFmtId="165" fontId="54" fillId="0" borderId="324" xfId="25" applyNumberFormat="1" applyFont="1" applyFill="1" applyBorder="1" applyAlignment="1" applyProtection="1">
      <alignment vertical="center" wrapText="1"/>
      <protection locked="0"/>
    </xf>
    <xf numFmtId="165" fontId="54" fillId="0" borderId="325" xfId="25" applyNumberFormat="1" applyFont="1" applyFill="1" applyBorder="1" applyAlignment="1" applyProtection="1">
      <alignment vertical="center" wrapText="1"/>
      <protection locked="0"/>
    </xf>
    <xf numFmtId="165" fontId="54" fillId="0" borderId="324" xfId="25" applyNumberFormat="1" applyFont="1" applyFill="1" applyBorder="1" applyAlignment="1">
      <alignment vertical="center" wrapText="1"/>
    </xf>
    <xf numFmtId="172" fontId="54" fillId="0" borderId="327" xfId="25" applyNumberFormat="1" applyFont="1" applyFill="1" applyBorder="1" applyAlignment="1" applyProtection="1">
      <alignment horizontal="left" vertical="center" wrapText="1" indent="2"/>
      <protection locked="0"/>
    </xf>
    <xf numFmtId="3" fontId="54" fillId="0" borderId="328" xfId="21" applyNumberFormat="1" applyFont="1" applyBorder="1" applyAlignment="1">
      <alignment vertical="center"/>
    </xf>
    <xf numFmtId="3" fontId="54" fillId="0" borderId="327" xfId="21" applyNumberFormat="1" applyFont="1" applyBorder="1" applyAlignment="1">
      <alignment vertical="center"/>
    </xf>
    <xf numFmtId="3" fontId="54" fillId="0" borderId="329" xfId="21" applyNumberFormat="1" applyFont="1" applyBorder="1" applyAlignment="1">
      <alignment vertical="center"/>
    </xf>
    <xf numFmtId="165" fontId="9" fillId="0" borderId="330" xfId="25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331" xfId="25" applyNumberFormat="1" applyFont="1" applyFill="1" applyBorder="1" applyAlignment="1" applyProtection="1">
      <alignment horizontal="left" vertical="center" wrapText="1" indent="2"/>
      <protection locked="0"/>
    </xf>
    <xf numFmtId="165" fontId="9" fillId="0" borderId="330" xfId="25" applyNumberFormat="1" applyFont="1" applyFill="1" applyBorder="1" applyAlignment="1" applyProtection="1">
      <alignment vertical="center" wrapText="1"/>
      <protection locked="0"/>
    </xf>
    <xf numFmtId="165" fontId="9" fillId="0" borderId="331" xfId="25" applyNumberFormat="1" applyFont="1" applyFill="1" applyBorder="1" applyAlignment="1" applyProtection="1">
      <alignment vertical="center" wrapText="1"/>
      <protection locked="0"/>
    </xf>
    <xf numFmtId="165" fontId="9" fillId="0" borderId="332" xfId="25" applyNumberFormat="1" applyFont="1" applyFill="1" applyBorder="1" applyAlignment="1" applyProtection="1">
      <alignment vertical="center" wrapText="1"/>
      <protection locked="0"/>
    </xf>
    <xf numFmtId="165" fontId="9" fillId="0" borderId="333" xfId="25" applyNumberFormat="1" applyFont="1" applyFill="1" applyBorder="1" applyAlignment="1" applyProtection="1">
      <alignment vertical="center" wrapText="1"/>
      <protection locked="0"/>
    </xf>
    <xf numFmtId="165" fontId="9" fillId="0" borderId="330" xfId="25" applyNumberFormat="1" applyFont="1" applyFill="1" applyBorder="1" applyAlignment="1">
      <alignment vertical="center" wrapText="1"/>
    </xf>
    <xf numFmtId="165" fontId="9" fillId="0" borderId="334" xfId="25" applyNumberFormat="1" applyFont="1" applyFill="1" applyBorder="1" applyAlignment="1" applyProtection="1">
      <alignment horizontal="left" vertical="center" wrapText="1" indent="1"/>
      <protection locked="0"/>
    </xf>
    <xf numFmtId="165" fontId="9" fillId="0" borderId="335" xfId="25" applyNumberFormat="1" applyFont="1" applyFill="1" applyBorder="1" applyAlignment="1" applyProtection="1">
      <alignment horizontal="left" vertical="center" wrapText="1" indent="1"/>
      <protection locked="0"/>
    </xf>
    <xf numFmtId="172" fontId="9" fillId="0" borderId="336" xfId="25" applyNumberFormat="1" applyFont="1" applyFill="1" applyBorder="1" applyAlignment="1" applyProtection="1">
      <alignment horizontal="left" vertical="center" wrapText="1" indent="2"/>
      <protection locked="0"/>
    </xf>
    <xf numFmtId="165" fontId="9" fillId="0" borderId="335" xfId="25" applyNumberFormat="1" applyFont="1" applyFill="1" applyBorder="1" applyAlignment="1" applyProtection="1">
      <alignment vertical="center" wrapText="1"/>
      <protection locked="0"/>
    </xf>
    <xf numFmtId="165" fontId="9" fillId="0" borderId="337" xfId="25" applyNumberFormat="1" applyFont="1" applyFill="1" applyBorder="1" applyAlignment="1" applyProtection="1">
      <alignment vertical="center" wrapText="1"/>
      <protection locked="0"/>
    </xf>
    <xf numFmtId="165" fontId="9" fillId="0" borderId="321" xfId="25" applyNumberFormat="1" applyFont="1" applyFill="1" applyBorder="1" applyAlignment="1" applyProtection="1">
      <alignment vertical="center" wrapText="1"/>
      <protection locked="0"/>
    </xf>
    <xf numFmtId="165" fontId="9" fillId="0" borderId="322" xfId="25" applyNumberFormat="1" applyFont="1" applyFill="1" applyBorder="1" applyAlignment="1" applyProtection="1">
      <alignment vertical="center" wrapText="1"/>
      <protection locked="0"/>
    </xf>
    <xf numFmtId="171" fontId="12" fillId="0" borderId="301" xfId="36" applyNumberFormat="1" applyFont="1" applyFill="1" applyBorder="1" applyAlignment="1" applyProtection="1">
      <protection locked="0"/>
    </xf>
    <xf numFmtId="171" fontId="9" fillId="0" borderId="301" xfId="36" applyNumberFormat="1" applyFont="1" applyFill="1" applyBorder="1" applyAlignment="1" applyProtection="1">
      <protection locked="0"/>
    </xf>
    <xf numFmtId="171" fontId="9" fillId="0" borderId="9" xfId="36" applyNumberFormat="1" applyFont="1" applyFill="1" applyBorder="1" applyAlignment="1" applyProtection="1">
      <protection locked="0"/>
    </xf>
    <xf numFmtId="3" fontId="10" fillId="0" borderId="293" xfId="19" applyNumberFormat="1" applyFont="1" applyFill="1" applyBorder="1" applyAlignment="1" applyProtection="1">
      <alignment horizontal="right" vertical="center" wrapText="1"/>
    </xf>
    <xf numFmtId="0" fontId="44" fillId="0" borderId="253" xfId="0" applyFont="1" applyFill="1" applyBorder="1" applyAlignment="1">
      <alignment horizontal="center" vertical="center"/>
    </xf>
    <xf numFmtId="0" fontId="44" fillId="0" borderId="263" xfId="0" applyFont="1" applyFill="1" applyBorder="1" applyAlignment="1">
      <alignment horizontal="center" vertical="center"/>
    </xf>
    <xf numFmtId="3" fontId="4" fillId="0" borderId="250" xfId="21" applyNumberFormat="1" applyBorder="1"/>
    <xf numFmtId="0" fontId="42" fillId="0" borderId="78" xfId="0" applyFont="1" applyBorder="1" applyAlignment="1">
      <alignment horizontal="left" wrapText="1" indent="2"/>
    </xf>
    <xf numFmtId="3" fontId="42" fillId="0" borderId="78" xfId="0" applyNumberFormat="1" applyFont="1" applyBorder="1"/>
    <xf numFmtId="0" fontId="42" fillId="0" borderId="78" xfId="0" applyFont="1" applyBorder="1" applyAlignment="1">
      <alignment horizontal="left" wrapText="1" indent="4"/>
    </xf>
    <xf numFmtId="3" fontId="12" fillId="0" borderId="291" xfId="16" applyNumberFormat="1" applyFont="1" applyFill="1" applyBorder="1" applyAlignment="1" applyProtection="1">
      <alignment horizontal="right" vertical="center"/>
      <protection locked="0"/>
    </xf>
    <xf numFmtId="0" fontId="90" fillId="0" borderId="137" xfId="24" applyFont="1" applyFill="1" applyBorder="1" applyAlignment="1">
      <alignment vertical="center"/>
    </xf>
    <xf numFmtId="0" fontId="91" fillId="0" borderId="134" xfId="24" applyFont="1" applyFill="1" applyBorder="1" applyAlignment="1">
      <alignment vertical="center"/>
    </xf>
    <xf numFmtId="3" fontId="91" fillId="0" borderId="135" xfId="24" applyNumberFormat="1" applyFont="1" applyFill="1" applyBorder="1" applyAlignment="1">
      <alignment vertical="center"/>
    </xf>
    <xf numFmtId="3" fontId="91" fillId="0" borderId="174" xfId="24" applyNumberFormat="1" applyFont="1" applyFill="1" applyBorder="1" applyAlignment="1">
      <alignment vertical="center"/>
    </xf>
    <xf numFmtId="3" fontId="91" fillId="0" borderId="238" xfId="24" applyNumberFormat="1" applyFont="1" applyFill="1" applyBorder="1" applyAlignment="1">
      <alignment vertical="center"/>
    </xf>
    <xf numFmtId="3" fontId="91" fillId="0" borderId="121" xfId="24" applyNumberFormat="1" applyFont="1" applyFill="1" applyBorder="1" applyAlignment="1">
      <alignment vertical="center"/>
    </xf>
    <xf numFmtId="0" fontId="91" fillId="0" borderId="0" xfId="24" applyFont="1" applyFill="1" applyAlignment="1">
      <alignment vertical="center"/>
    </xf>
    <xf numFmtId="0" fontId="92" fillId="0" borderId="0" xfId="24" applyFont="1" applyFill="1" applyAlignment="1">
      <alignment vertical="center"/>
    </xf>
    <xf numFmtId="0" fontId="94" fillId="0" borderId="0" xfId="24" applyFont="1" applyFill="1" applyBorder="1" applyAlignment="1">
      <alignment vertical="center"/>
    </xf>
    <xf numFmtId="3" fontId="94" fillId="0" borderId="188" xfId="24" applyNumberFormat="1" applyFont="1" applyFill="1" applyBorder="1" applyAlignment="1">
      <alignment vertical="center"/>
    </xf>
    <xf numFmtId="3" fontId="90" fillId="0" borderId="135" xfId="24" applyNumberFormat="1" applyFont="1" applyFill="1" applyBorder="1" applyAlignment="1">
      <alignment vertical="center"/>
    </xf>
    <xf numFmtId="3" fontId="94" fillId="0" borderId="174" xfId="24" applyNumberFormat="1" applyFont="1" applyFill="1" applyBorder="1" applyAlignment="1">
      <alignment vertical="center"/>
    </xf>
    <xf numFmtId="3" fontId="94" fillId="0" borderId="240" xfId="24" applyNumberFormat="1" applyFont="1" applyFill="1" applyBorder="1" applyAlignment="1">
      <alignment vertical="center"/>
    </xf>
    <xf numFmtId="3" fontId="94" fillId="0" borderId="175" xfId="24" applyNumberFormat="1" applyFont="1" applyFill="1" applyBorder="1" applyAlignment="1">
      <alignment vertical="center"/>
    </xf>
    <xf numFmtId="3" fontId="90" fillId="0" borderId="121" xfId="24" applyNumberFormat="1" applyFont="1" applyFill="1" applyBorder="1" applyAlignment="1">
      <alignment vertical="center"/>
    </xf>
    <xf numFmtId="0" fontId="94" fillId="0" borderId="0" xfId="24" applyFont="1" applyFill="1" applyAlignment="1">
      <alignment vertical="center"/>
    </xf>
    <xf numFmtId="0" fontId="90" fillId="0" borderId="134" xfId="24" applyFont="1" applyFill="1" applyBorder="1" applyAlignment="1">
      <alignment vertical="center"/>
    </xf>
    <xf numFmtId="3" fontId="90" fillId="0" borderId="174" xfId="24" applyNumberFormat="1" applyFont="1" applyFill="1" applyBorder="1" applyAlignment="1">
      <alignment vertical="center"/>
    </xf>
    <xf numFmtId="3" fontId="90" fillId="0" borderId="238" xfId="24" applyNumberFormat="1" applyFont="1" applyFill="1" applyBorder="1" applyAlignment="1">
      <alignment vertical="center"/>
    </xf>
    <xf numFmtId="0" fontId="90" fillId="0" borderId="0" xfId="24" applyFont="1" applyFill="1" applyAlignment="1">
      <alignment vertical="center"/>
    </xf>
    <xf numFmtId="3" fontId="12" fillId="0" borderId="290" xfId="16" applyNumberFormat="1" applyFont="1" applyFill="1" applyBorder="1" applyAlignment="1" applyProtection="1">
      <alignment horizontal="right" vertical="center"/>
      <protection locked="0"/>
    </xf>
    <xf numFmtId="0" fontId="78" fillId="13" borderId="85" xfId="20" applyFont="1" applyFill="1" applyBorder="1" applyAlignment="1">
      <alignment horizontal="center" vertical="center" wrapText="1"/>
    </xf>
    <xf numFmtId="0" fontId="78" fillId="13" borderId="86" xfId="20" applyFont="1" applyFill="1" applyBorder="1" applyAlignment="1">
      <alignment horizontal="center" vertical="center" wrapText="1"/>
    </xf>
    <xf numFmtId="0" fontId="78" fillId="12" borderId="97" xfId="20" applyFont="1" applyFill="1" applyBorder="1" applyAlignment="1">
      <alignment horizontal="center" vertical="center"/>
    </xf>
    <xf numFmtId="0" fontId="78" fillId="12" borderId="0" xfId="20" applyFont="1" applyFill="1" applyBorder="1" applyAlignment="1">
      <alignment horizontal="center" vertical="center"/>
    </xf>
    <xf numFmtId="0" fontId="78" fillId="12" borderId="83" xfId="20" applyFont="1" applyFill="1" applyBorder="1" applyAlignment="1">
      <alignment horizontal="center" vertical="center"/>
    </xf>
    <xf numFmtId="0" fontId="78" fillId="12" borderId="84" xfId="20" applyFont="1" applyFill="1" applyBorder="1" applyAlignment="1">
      <alignment horizontal="center" vertical="center"/>
    </xf>
    <xf numFmtId="0" fontId="78" fillId="12" borderId="85" xfId="20" applyFont="1" applyFill="1" applyBorder="1" applyAlignment="1">
      <alignment horizontal="center" vertical="center"/>
    </xf>
    <xf numFmtId="0" fontId="78" fillId="12" borderId="86" xfId="20" applyFont="1" applyFill="1" applyBorder="1" applyAlignment="1">
      <alignment horizontal="center" vertical="center"/>
    </xf>
    <xf numFmtId="0" fontId="78" fillId="12" borderId="87" xfId="20" applyFont="1" applyFill="1" applyBorder="1" applyAlignment="1">
      <alignment horizontal="center" vertical="center"/>
    </xf>
    <xf numFmtId="0" fontId="75" fillId="12" borderId="86" xfId="20" applyFont="1" applyFill="1" applyBorder="1" applyAlignment="1">
      <alignment horizontal="center" vertical="center"/>
    </xf>
    <xf numFmtId="0" fontId="75" fillId="12" borderId="87" xfId="20" applyFont="1" applyFill="1" applyBorder="1" applyAlignment="1">
      <alignment horizontal="center" vertical="center"/>
    </xf>
    <xf numFmtId="165" fontId="21" fillId="0" borderId="79" xfId="19" applyNumberFormat="1" applyFont="1" applyFill="1" applyBorder="1" applyAlignment="1" applyProtection="1">
      <alignment horizontal="left" vertical="center"/>
    </xf>
    <xf numFmtId="0" fontId="14" fillId="2" borderId="2" xfId="9" applyFont="1" applyFill="1" applyBorder="1" applyAlignment="1">
      <alignment horizontal="center"/>
    </xf>
    <xf numFmtId="0" fontId="18" fillId="2" borderId="17" xfId="9" applyFont="1" applyFill="1" applyBorder="1" applyAlignment="1">
      <alignment horizontal="center"/>
    </xf>
    <xf numFmtId="0" fontId="20" fillId="0" borderId="35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>
      <alignment horizontal="left"/>
    </xf>
    <xf numFmtId="0" fontId="12" fillId="0" borderId="0" xfId="19" applyFont="1" applyFill="1" applyBorder="1" applyAlignment="1">
      <alignment horizontal="left" wrapText="1"/>
    </xf>
    <xf numFmtId="165" fontId="23" fillId="0" borderId="0" xfId="0" applyNumberFormat="1" applyFont="1" applyFill="1" applyBorder="1" applyAlignment="1">
      <alignment horizontal="center" textRotation="180" wrapText="1"/>
    </xf>
    <xf numFmtId="165" fontId="9" fillId="0" borderId="0" xfId="0" applyNumberFormat="1" applyFont="1" applyFill="1" applyBorder="1" applyAlignment="1">
      <alignment horizontal="right" vertical="center"/>
    </xf>
    <xf numFmtId="165" fontId="11" fillId="0" borderId="30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165" fontId="11" fillId="0" borderId="43" xfId="0" applyNumberFormat="1" applyFont="1" applyFill="1" applyBorder="1" applyAlignment="1">
      <alignment horizontal="center" vertical="center" wrapText="1"/>
    </xf>
    <xf numFmtId="165" fontId="11" fillId="0" borderId="41" xfId="0" applyNumberFormat="1" applyFont="1" applyFill="1" applyBorder="1" applyAlignment="1">
      <alignment horizontal="center" vertical="center" wrapText="1"/>
    </xf>
    <xf numFmtId="0" fontId="75" fillId="0" borderId="190" xfId="24" applyFont="1" applyBorder="1" applyAlignment="1">
      <alignment horizontal="center" vertical="center" wrapText="1"/>
    </xf>
    <xf numFmtId="0" fontId="75" fillId="0" borderId="191" xfId="24" applyFont="1" applyBorder="1" applyAlignment="1">
      <alignment horizontal="center" vertical="center" wrapText="1"/>
    </xf>
    <xf numFmtId="0" fontId="75" fillId="0" borderId="189" xfId="24" applyFont="1" applyBorder="1" applyAlignment="1">
      <alignment horizontal="center" vertical="center" wrapText="1"/>
    </xf>
    <xf numFmtId="0" fontId="75" fillId="0" borderId="177" xfId="24" applyFont="1" applyBorder="1" applyAlignment="1">
      <alignment horizontal="center" vertical="center" wrapText="1"/>
    </xf>
    <xf numFmtId="0" fontId="75" fillId="0" borderId="97" xfId="24" applyFont="1" applyBorder="1" applyAlignment="1">
      <alignment horizontal="center" vertical="center" wrapText="1"/>
    </xf>
    <xf numFmtId="0" fontId="75" fillId="0" borderId="0" xfId="24" applyFont="1" applyBorder="1" applyAlignment="1">
      <alignment horizontal="center" vertical="center" wrapText="1"/>
    </xf>
    <xf numFmtId="0" fontId="75" fillId="13" borderId="92" xfId="24" applyFont="1" applyFill="1" applyBorder="1" applyAlignment="1">
      <alignment horizontal="center" vertical="center" wrapText="1"/>
    </xf>
    <xf numFmtId="0" fontId="75" fillId="13" borderId="145" xfId="24" applyFont="1" applyFill="1" applyBorder="1" applyAlignment="1">
      <alignment horizontal="center" vertical="center" wrapText="1"/>
    </xf>
    <xf numFmtId="0" fontId="75" fillId="13" borderId="98" xfId="24" applyFont="1" applyFill="1" applyBorder="1" applyAlignment="1">
      <alignment horizontal="center" vertical="center" wrapText="1"/>
    </xf>
    <xf numFmtId="0" fontId="84" fillId="0" borderId="0" xfId="24" applyFont="1" applyAlignment="1">
      <alignment horizontal="center" vertical="center" wrapText="1"/>
    </xf>
    <xf numFmtId="0" fontId="82" fillId="0" borderId="0" xfId="24" applyFont="1" applyAlignment="1">
      <alignment horizontal="center" vertical="center"/>
    </xf>
    <xf numFmtId="0" fontId="75" fillId="0" borderId="91" xfId="24" applyFont="1" applyBorder="1" applyAlignment="1">
      <alignment horizontal="center" vertical="center" wrapText="1"/>
    </xf>
    <xf numFmtId="0" fontId="75" fillId="0" borderId="96" xfId="24" applyFont="1" applyBorder="1" applyAlignment="1">
      <alignment horizontal="center" vertical="center" wrapText="1"/>
    </xf>
    <xf numFmtId="0" fontId="75" fillId="0" borderId="117" xfId="24" applyFont="1" applyBorder="1" applyAlignment="1">
      <alignment horizontal="center" vertical="center" wrapText="1"/>
    </xf>
    <xf numFmtId="0" fontId="90" fillId="11" borderId="91" xfId="24" applyFont="1" applyFill="1" applyBorder="1" applyAlignment="1">
      <alignment horizontal="center" vertical="center" wrapText="1"/>
    </xf>
    <xf numFmtId="0" fontId="90" fillId="11" borderId="96" xfId="24" applyFont="1" applyFill="1" applyBorder="1" applyAlignment="1">
      <alignment horizontal="center" vertical="center" wrapText="1"/>
    </xf>
    <xf numFmtId="0" fontId="90" fillId="11" borderId="117" xfId="24" applyFont="1" applyFill="1" applyBorder="1" applyAlignment="1">
      <alignment horizontal="center" vertical="center" wrapText="1"/>
    </xf>
    <xf numFmtId="0" fontId="75" fillId="0" borderId="93" xfId="24" applyFont="1" applyBorder="1" applyAlignment="1">
      <alignment horizontal="center" vertical="center" wrapText="1"/>
    </xf>
    <xf numFmtId="0" fontId="75" fillId="0" borderId="145" xfId="24" applyFont="1" applyBorder="1" applyAlignment="1">
      <alignment horizontal="center" vertical="center" wrapText="1"/>
    </xf>
    <xf numFmtId="0" fontId="75" fillId="13" borderId="189" xfId="24" applyFont="1" applyFill="1" applyBorder="1" applyAlignment="1">
      <alignment horizontal="center" vertical="center" wrapText="1"/>
    </xf>
    <xf numFmtId="0" fontId="75" fillId="13" borderId="177" xfId="24" applyFont="1" applyFill="1" applyBorder="1" applyAlignment="1">
      <alignment horizontal="center" vertical="center" wrapText="1"/>
    </xf>
    <xf numFmtId="0" fontId="75" fillId="13" borderId="187" xfId="24" applyFont="1" applyFill="1" applyBorder="1" applyAlignment="1">
      <alignment horizontal="center" vertical="center" wrapText="1"/>
    </xf>
    <xf numFmtId="0" fontId="75" fillId="13" borderId="88" xfId="24" applyFont="1" applyFill="1" applyBorder="1" applyAlignment="1">
      <alignment horizontal="center" vertical="center" wrapText="1"/>
    </xf>
    <xf numFmtId="0" fontId="75" fillId="13" borderId="89" xfId="24" applyFont="1" applyFill="1" applyBorder="1" applyAlignment="1">
      <alignment horizontal="center" vertical="center" wrapText="1"/>
    </xf>
    <xf numFmtId="0" fontId="75" fillId="13" borderId="119" xfId="24" applyFont="1" applyFill="1" applyBorder="1" applyAlignment="1">
      <alignment horizontal="center" vertical="center" wrapText="1"/>
    </xf>
    <xf numFmtId="0" fontId="75" fillId="0" borderId="187" xfId="24" applyFont="1" applyBorder="1" applyAlignment="1">
      <alignment horizontal="center" vertical="center" wrapText="1"/>
    </xf>
    <xf numFmtId="0" fontId="75" fillId="0" borderId="88" xfId="24" applyFont="1" applyBorder="1" applyAlignment="1">
      <alignment horizontal="center" vertical="center" wrapText="1"/>
    </xf>
    <xf numFmtId="0" fontId="75" fillId="0" borderId="89" xfId="24" applyFont="1" applyBorder="1" applyAlignment="1">
      <alignment horizontal="center" vertical="center" wrapText="1"/>
    </xf>
    <xf numFmtId="0" fontId="75" fillId="0" borderId="119" xfId="24" applyFont="1" applyBorder="1" applyAlignment="1">
      <alignment horizontal="center" vertical="center" wrapText="1"/>
    </xf>
    <xf numFmtId="0" fontId="75" fillId="0" borderId="200" xfId="24" applyFont="1" applyBorder="1" applyAlignment="1">
      <alignment horizontal="center" vertical="center" wrapText="1"/>
    </xf>
    <xf numFmtId="0" fontId="75" fillId="0" borderId="178" xfId="24" applyFont="1" applyBorder="1" applyAlignment="1">
      <alignment horizontal="center" vertical="center" wrapText="1"/>
    </xf>
    <xf numFmtId="0" fontId="75" fillId="0" borderId="194" xfId="24" applyFont="1" applyBorder="1" applyAlignment="1">
      <alignment horizontal="center" vertical="center" wrapText="1"/>
    </xf>
    <xf numFmtId="0" fontId="75" fillId="0" borderId="98" xfId="24" applyFont="1" applyBorder="1" applyAlignment="1">
      <alignment horizontal="center" vertical="center" wrapText="1"/>
    </xf>
    <xf numFmtId="0" fontId="75" fillId="13" borderId="191" xfId="24" applyFont="1" applyFill="1" applyBorder="1" applyAlignment="1">
      <alignment horizontal="center" vertical="center" wrapText="1"/>
    </xf>
    <xf numFmtId="0" fontId="75" fillId="13" borderId="193" xfId="24" applyFont="1" applyFill="1" applyBorder="1" applyAlignment="1">
      <alignment horizontal="center" vertical="center" wrapText="1"/>
    </xf>
    <xf numFmtId="0" fontId="75" fillId="0" borderId="92" xfId="24" applyFont="1" applyBorder="1" applyAlignment="1">
      <alignment horizontal="center" vertical="center" wrapText="1"/>
    </xf>
    <xf numFmtId="0" fontId="75" fillId="0" borderId="241" xfId="24" applyFont="1" applyBorder="1" applyAlignment="1">
      <alignment horizontal="center" vertical="center" wrapText="1"/>
    </xf>
    <xf numFmtId="0" fontId="75" fillId="0" borderId="237" xfId="24" applyFont="1" applyBorder="1" applyAlignment="1">
      <alignment horizontal="center" vertical="center" wrapText="1"/>
    </xf>
    <xf numFmtId="0" fontId="75" fillId="0" borderId="242" xfId="24" applyFont="1" applyBorder="1" applyAlignment="1">
      <alignment horizontal="center" vertical="center" wrapText="1"/>
    </xf>
    <xf numFmtId="0" fontId="78" fillId="13" borderId="191" xfId="24" applyFont="1" applyFill="1" applyBorder="1" applyAlignment="1">
      <alignment horizontal="center" vertical="center" wrapText="1"/>
    </xf>
    <xf numFmtId="0" fontId="78" fillId="13" borderId="193" xfId="24" applyFont="1" applyFill="1" applyBorder="1" applyAlignment="1">
      <alignment horizontal="center" vertical="center" wrapText="1"/>
    </xf>
    <xf numFmtId="0" fontId="78" fillId="13" borderId="196" xfId="24" applyFont="1" applyFill="1" applyBorder="1" applyAlignment="1">
      <alignment horizontal="center" vertical="center" wrapText="1"/>
    </xf>
    <xf numFmtId="0" fontId="78" fillId="13" borderId="192" xfId="24" applyFont="1" applyFill="1" applyBorder="1" applyAlignment="1">
      <alignment horizontal="center" vertical="center" wrapText="1"/>
    </xf>
    <xf numFmtId="0" fontId="78" fillId="0" borderId="189" xfId="24" applyFont="1" applyBorder="1" applyAlignment="1">
      <alignment horizontal="center" vertical="center" wrapText="1"/>
    </xf>
    <xf numFmtId="0" fontId="78" fillId="0" borderId="187" xfId="24" applyFont="1" applyBorder="1" applyAlignment="1">
      <alignment horizontal="center" vertical="center" wrapText="1"/>
    </xf>
    <xf numFmtId="0" fontId="78" fillId="0" borderId="197" xfId="24" applyFont="1" applyBorder="1" applyAlignment="1">
      <alignment horizontal="center" vertical="center" wrapText="1"/>
    </xf>
    <xf numFmtId="0" fontId="78" fillId="0" borderId="198" xfId="24" applyFont="1" applyBorder="1" applyAlignment="1">
      <alignment horizontal="center" vertical="center" wrapText="1"/>
    </xf>
    <xf numFmtId="3" fontId="74" fillId="0" borderId="233" xfId="24" applyNumberFormat="1" applyFont="1" applyBorder="1" applyAlignment="1">
      <alignment horizontal="center"/>
    </xf>
    <xf numFmtId="0" fontId="82" fillId="0" borderId="0" xfId="24" applyFont="1" applyAlignment="1">
      <alignment horizontal="center"/>
    </xf>
    <xf numFmtId="0" fontId="78" fillId="0" borderId="91" xfId="24" applyFont="1" applyBorder="1" applyAlignment="1">
      <alignment horizontal="center" vertical="center" wrapText="1"/>
    </xf>
    <xf numFmtId="0" fontId="78" fillId="0" borderId="96" xfId="24" applyFont="1" applyBorder="1" applyAlignment="1">
      <alignment horizontal="center" vertical="center" wrapText="1"/>
    </xf>
    <xf numFmtId="0" fontId="78" fillId="0" borderId="117" xfId="24" applyFont="1" applyBorder="1" applyAlignment="1">
      <alignment horizontal="center" vertical="center" wrapText="1"/>
    </xf>
    <xf numFmtId="0" fontId="78" fillId="13" borderId="189" xfId="24" applyFont="1" applyFill="1" applyBorder="1" applyAlignment="1">
      <alignment horizontal="center" vertical="center" wrapText="1"/>
    </xf>
    <xf numFmtId="0" fontId="78" fillId="13" borderId="177" xfId="24" applyFont="1" applyFill="1" applyBorder="1" applyAlignment="1">
      <alignment horizontal="center" vertical="center" wrapText="1"/>
    </xf>
    <xf numFmtId="0" fontId="78" fillId="13" borderId="187" xfId="24" applyFont="1" applyFill="1" applyBorder="1" applyAlignment="1">
      <alignment horizontal="center" vertical="center" wrapText="1"/>
    </xf>
    <xf numFmtId="0" fontId="78" fillId="0" borderId="190" xfId="24" applyFont="1" applyBorder="1" applyAlignment="1">
      <alignment horizontal="center" vertical="center" wrapText="1"/>
    </xf>
    <xf numFmtId="0" fontId="78" fillId="0" borderId="191" xfId="24" applyFont="1" applyBorder="1" applyAlignment="1">
      <alignment horizontal="center" vertical="center" wrapText="1"/>
    </xf>
    <xf numFmtId="0" fontId="78" fillId="0" borderId="192" xfId="24" applyFont="1" applyBorder="1" applyAlignment="1">
      <alignment horizontal="center" vertical="center" wrapText="1"/>
    </xf>
    <xf numFmtId="0" fontId="78" fillId="0" borderId="93" xfId="24" applyFont="1" applyBorder="1" applyAlignment="1">
      <alignment horizontal="center" vertical="center" wrapText="1"/>
    </xf>
    <xf numFmtId="0" fontId="78" fillId="0" borderId="145" xfId="24" applyFont="1" applyBorder="1" applyAlignment="1">
      <alignment horizontal="center" vertical="center" wrapText="1"/>
    </xf>
    <xf numFmtId="0" fontId="78" fillId="0" borderId="98" xfId="24" applyFont="1" applyBorder="1" applyAlignment="1">
      <alignment horizontal="center" vertical="center" wrapText="1"/>
    </xf>
    <xf numFmtId="0" fontId="78" fillId="0" borderId="193" xfId="24" applyFont="1" applyBorder="1" applyAlignment="1">
      <alignment horizontal="center" vertical="center" wrapText="1"/>
    </xf>
    <xf numFmtId="0" fontId="78" fillId="0" borderId="180" xfId="24" applyFont="1" applyBorder="1" applyAlignment="1">
      <alignment horizontal="center" vertical="center" wrapText="1"/>
    </xf>
    <xf numFmtId="0" fontId="78" fillId="0" borderId="178" xfId="24" applyFont="1" applyBorder="1" applyAlignment="1">
      <alignment horizontal="center" vertical="center" wrapText="1"/>
    </xf>
    <xf numFmtId="0" fontId="78" fillId="0" borderId="194" xfId="24" applyFont="1" applyBorder="1" applyAlignment="1">
      <alignment horizontal="center" vertical="center" wrapText="1"/>
    </xf>
    <xf numFmtId="0" fontId="78" fillId="0" borderId="177" xfId="24" applyFont="1" applyBorder="1" applyAlignment="1">
      <alignment horizontal="center" vertical="center" wrapText="1"/>
    </xf>
    <xf numFmtId="0" fontId="78" fillId="0" borderId="97" xfId="24" applyFont="1" applyBorder="1" applyAlignment="1">
      <alignment horizontal="center" vertical="center" wrapText="1"/>
    </xf>
    <xf numFmtId="0" fontId="78" fillId="0" borderId="0" xfId="24" applyFont="1" applyBorder="1" applyAlignment="1">
      <alignment horizontal="center" vertical="center" wrapText="1"/>
    </xf>
    <xf numFmtId="0" fontId="78" fillId="13" borderId="101" xfId="24" applyFont="1" applyFill="1" applyBorder="1" applyAlignment="1">
      <alignment horizontal="center" vertical="center" wrapText="1"/>
    </xf>
    <xf numFmtId="0" fontId="84" fillId="0" borderId="0" xfId="24" applyFont="1" applyAlignment="1">
      <alignment horizontal="center" wrapText="1"/>
    </xf>
    <xf numFmtId="0" fontId="78" fillId="0" borderId="142" xfId="24" applyFont="1" applyBorder="1" applyAlignment="1">
      <alignment horizontal="center" vertical="center" wrapText="1"/>
    </xf>
    <xf numFmtId="0" fontId="78" fillId="0" borderId="118" xfId="24" applyFont="1" applyBorder="1" applyAlignment="1">
      <alignment horizontal="center" vertical="center" wrapText="1"/>
    </xf>
    <xf numFmtId="0" fontId="78" fillId="0" borderId="147" xfId="24" applyFont="1" applyBorder="1" applyAlignment="1">
      <alignment horizontal="center" vertical="center" wrapText="1"/>
    </xf>
    <xf numFmtId="0" fontId="78" fillId="0" borderId="144" xfId="24" applyFont="1" applyBorder="1" applyAlignment="1">
      <alignment horizontal="center" vertical="center" wrapText="1"/>
    </xf>
    <xf numFmtId="0" fontId="78" fillId="0" borderId="183" xfId="24" applyFont="1" applyBorder="1" applyAlignment="1">
      <alignment horizontal="center" vertical="center" wrapText="1"/>
    </xf>
    <xf numFmtId="0" fontId="78" fillId="0" borderId="121" xfId="24" applyFont="1" applyBorder="1" applyAlignment="1">
      <alignment horizontal="center" vertical="center" wrapText="1"/>
    </xf>
    <xf numFmtId="0" fontId="78" fillId="13" borderId="145" xfId="24" applyFont="1" applyFill="1" applyBorder="1" applyAlignment="1">
      <alignment horizontal="center" vertical="center" wrapText="1"/>
    </xf>
    <xf numFmtId="0" fontId="78" fillId="13" borderId="146" xfId="24" applyFont="1" applyFill="1" applyBorder="1" applyAlignment="1">
      <alignment horizontal="center" vertical="center" wrapText="1"/>
    </xf>
    <xf numFmtId="0" fontId="78" fillId="0" borderId="176" xfId="24" applyFont="1" applyBorder="1" applyAlignment="1">
      <alignment horizontal="center" vertical="center" wrapText="1"/>
    </xf>
    <xf numFmtId="0" fontId="78" fillId="0" borderId="143" xfId="24" applyFont="1" applyBorder="1" applyAlignment="1">
      <alignment horizontal="center" vertical="center" wrapText="1"/>
    </xf>
    <xf numFmtId="0" fontId="78" fillId="0" borderId="181" xfId="24" applyFont="1" applyBorder="1" applyAlignment="1">
      <alignment horizontal="center" vertical="center" wrapText="1"/>
    </xf>
    <xf numFmtId="0" fontId="78" fillId="0" borderId="182" xfId="24" applyFont="1" applyBorder="1" applyAlignment="1">
      <alignment horizontal="center" vertical="center" wrapText="1"/>
    </xf>
    <xf numFmtId="0" fontId="78" fillId="13" borderId="179" xfId="24" applyFont="1" applyFill="1" applyBorder="1" applyAlignment="1">
      <alignment horizontal="center" vertical="center" wrapText="1"/>
    </xf>
    <xf numFmtId="0" fontId="78" fillId="13" borderId="184" xfId="24" applyFont="1" applyFill="1" applyBorder="1" applyAlignment="1">
      <alignment horizontal="center" vertical="center" wrapText="1"/>
    </xf>
    <xf numFmtId="0" fontId="78" fillId="13" borderId="185" xfId="24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165" fontId="12" fillId="0" borderId="265" xfId="0" applyNumberFormat="1" applyFont="1" applyFill="1" applyBorder="1" applyAlignment="1">
      <alignment horizontal="center" vertical="center" wrapText="1"/>
    </xf>
    <xf numFmtId="165" fontId="12" fillId="0" borderId="266" xfId="0" applyNumberFormat="1" applyFont="1" applyFill="1" applyBorder="1" applyAlignment="1">
      <alignment horizontal="center" vertical="center" wrapText="1"/>
    </xf>
    <xf numFmtId="165" fontId="12" fillId="0" borderId="267" xfId="0" applyNumberFormat="1" applyFont="1" applyFill="1" applyBorder="1" applyAlignment="1">
      <alignment horizontal="center" vertical="center" wrapText="1"/>
    </xf>
    <xf numFmtId="165" fontId="12" fillId="0" borderId="268" xfId="0" applyNumberFormat="1" applyFont="1" applyFill="1" applyBorder="1" applyAlignment="1">
      <alignment horizontal="center" vertical="center" wrapText="1"/>
    </xf>
    <xf numFmtId="165" fontId="12" fillId="0" borderId="79" xfId="0" applyNumberFormat="1" applyFont="1" applyFill="1" applyBorder="1" applyAlignment="1">
      <alignment horizontal="center" vertical="center" wrapText="1"/>
    </xf>
    <xf numFmtId="165" fontId="12" fillId="0" borderId="45" xfId="0" applyNumberFormat="1" applyFont="1" applyFill="1" applyBorder="1" applyAlignment="1">
      <alignment horizontal="center" vertical="center" wrapText="1"/>
    </xf>
    <xf numFmtId="0" fontId="12" fillId="0" borderId="212" xfId="0" applyFont="1" applyFill="1" applyBorder="1" applyAlignment="1" applyProtection="1">
      <alignment horizontal="right"/>
    </xf>
    <xf numFmtId="0" fontId="11" fillId="0" borderId="44" xfId="0" applyFont="1" applyFill="1" applyBorder="1" applyAlignment="1" applyProtection="1">
      <alignment horizontal="left" vertical="center" wrapText="1"/>
    </xf>
    <xf numFmtId="0" fontId="11" fillId="0" borderId="40" xfId="0" applyFont="1" applyFill="1" applyBorder="1" applyAlignment="1" applyProtection="1">
      <alignment horizontal="left" vertical="center" wrapText="1"/>
    </xf>
    <xf numFmtId="0" fontId="11" fillId="0" borderId="43" xfId="19" applyFont="1" applyFill="1" applyBorder="1" applyAlignment="1" applyProtection="1">
      <alignment horizontal="left" vertical="center" wrapText="1"/>
    </xf>
    <xf numFmtId="0" fontId="11" fillId="0" borderId="44" xfId="19" applyFont="1" applyFill="1" applyBorder="1" applyAlignment="1" applyProtection="1">
      <alignment horizontal="left" vertical="center" wrapText="1"/>
    </xf>
    <xf numFmtId="0" fontId="11" fillId="0" borderId="40" xfId="19" applyFont="1" applyFill="1" applyBorder="1" applyAlignment="1" applyProtection="1">
      <alignment horizontal="left" vertical="center" wrapText="1"/>
    </xf>
    <xf numFmtId="0" fontId="67" fillId="0" borderId="60" xfId="19" applyFont="1" applyFill="1" applyBorder="1" applyAlignment="1" applyProtection="1">
      <alignment horizontal="center" vertical="center" wrapText="1"/>
    </xf>
    <xf numFmtId="0" fontId="67" fillId="0" borderId="61" xfId="19" applyFont="1" applyFill="1" applyBorder="1" applyAlignment="1" applyProtection="1">
      <alignment horizontal="center" vertical="center" wrapText="1"/>
    </xf>
    <xf numFmtId="0" fontId="67" fillId="0" borderId="62" xfId="19" applyFont="1" applyFill="1" applyBorder="1" applyAlignment="1" applyProtection="1">
      <alignment horizontal="center" vertical="center" wrapText="1"/>
    </xf>
    <xf numFmtId="0" fontId="67" fillId="0" borderId="80" xfId="19" applyFont="1" applyFill="1" applyBorder="1" applyAlignment="1" applyProtection="1">
      <alignment horizontal="center" vertical="center" wrapText="1"/>
    </xf>
    <xf numFmtId="0" fontId="67" fillId="0" borderId="79" xfId="19" applyFont="1" applyFill="1" applyBorder="1" applyAlignment="1" applyProtection="1">
      <alignment horizontal="center" vertical="center" wrapText="1"/>
    </xf>
    <xf numFmtId="0" fontId="67" fillId="0" borderId="81" xfId="19" applyFont="1" applyFill="1" applyBorder="1" applyAlignment="1" applyProtection="1">
      <alignment horizontal="center" vertical="center" wrapText="1"/>
    </xf>
    <xf numFmtId="0" fontId="11" fillId="0" borderId="2" xfId="19" applyFont="1" applyFill="1" applyBorder="1" applyAlignment="1" applyProtection="1">
      <alignment horizontal="left" vertical="center" wrapText="1"/>
    </xf>
    <xf numFmtId="165" fontId="12" fillId="0" borderId="30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38" fillId="0" borderId="27" xfId="9" applyFont="1" applyBorder="1" applyAlignment="1">
      <alignment horizontal="center" vertical="center"/>
    </xf>
    <xf numFmtId="0" fontId="18" fillId="2" borderId="9" xfId="9" applyFont="1" applyFill="1" applyBorder="1" applyAlignment="1"/>
    <xf numFmtId="49" fontId="44" fillId="0" borderId="46" xfId="9" applyNumberFormat="1" applyFont="1" applyBorder="1" applyAlignment="1"/>
    <xf numFmtId="49" fontId="46" fillId="0" borderId="46" xfId="9" applyNumberFormat="1" applyFont="1" applyBorder="1" applyAlignment="1">
      <alignment horizontal="left"/>
    </xf>
    <xf numFmtId="49" fontId="47" fillId="0" borderId="46" xfId="9" applyNumberFormat="1" applyFont="1" applyBorder="1" applyAlignment="1">
      <alignment horizontal="left"/>
    </xf>
    <xf numFmtId="49" fontId="48" fillId="0" borderId="46" xfId="9" applyNumberFormat="1" applyFont="1" applyBorder="1" applyAlignment="1">
      <alignment horizontal="center"/>
    </xf>
    <xf numFmtId="49" fontId="49" fillId="0" borderId="46" xfId="9" applyNumberFormat="1" applyFont="1" applyBorder="1" applyAlignment="1">
      <alignment horizontal="center"/>
    </xf>
    <xf numFmtId="49" fontId="46" fillId="0" borderId="264" xfId="9" applyNumberFormat="1" applyFont="1" applyBorder="1" applyAlignment="1">
      <alignment horizontal="left"/>
    </xf>
    <xf numFmtId="49" fontId="46" fillId="0" borderId="263" xfId="9" applyNumberFormat="1" applyFont="1" applyBorder="1" applyAlignment="1">
      <alignment horizontal="left"/>
    </xf>
    <xf numFmtId="0" fontId="18" fillId="5" borderId="9" xfId="9" applyFont="1" applyFill="1" applyBorder="1" applyAlignment="1"/>
    <xf numFmtId="49" fontId="46" fillId="0" borderId="169" xfId="9" applyNumberFormat="1" applyFont="1" applyBorder="1" applyAlignment="1">
      <alignment horizontal="left"/>
    </xf>
    <xf numFmtId="49" fontId="46" fillId="0" borderId="170" xfId="9" applyNumberFormat="1" applyFont="1" applyBorder="1" applyAlignment="1">
      <alignment horizontal="left"/>
    </xf>
    <xf numFmtId="0" fontId="39" fillId="5" borderId="9" xfId="9" applyFont="1" applyFill="1" applyBorder="1" applyAlignment="1">
      <alignment horizontal="left" vertical="center"/>
    </xf>
    <xf numFmtId="0" fontId="50" fillId="3" borderId="9" xfId="9" applyFont="1" applyFill="1" applyBorder="1" applyAlignment="1">
      <alignment wrapText="1"/>
    </xf>
    <xf numFmtId="0" fontId="38" fillId="0" borderId="9" xfId="9" applyFont="1" applyBorder="1" applyAlignment="1">
      <alignment horizontal="center" vertical="center"/>
    </xf>
    <xf numFmtId="0" fontId="51" fillId="0" borderId="20" xfId="9" applyFont="1" applyBorder="1" applyAlignment="1">
      <alignment horizontal="center"/>
    </xf>
    <xf numFmtId="0" fontId="18" fillId="2" borderId="33" xfId="9" applyFont="1" applyFill="1" applyBorder="1" applyAlignment="1"/>
    <xf numFmtId="0" fontId="51" fillId="0" borderId="33" xfId="9" applyFont="1" applyBorder="1" applyAlignment="1">
      <alignment horizontal="center"/>
    </xf>
    <xf numFmtId="0" fontId="51" fillId="0" borderId="9" xfId="9" applyFont="1" applyBorder="1" applyAlignment="1">
      <alignment horizontal="center"/>
    </xf>
    <xf numFmtId="0" fontId="12" fillId="0" borderId="2" xfId="0" applyFont="1" applyFill="1" applyBorder="1" applyAlignment="1" applyProtection="1">
      <alignment horizontal="left" vertical="center" wrapText="1"/>
    </xf>
    <xf numFmtId="0" fontId="54" fillId="0" borderId="79" xfId="0" applyFont="1" applyBorder="1" applyAlignment="1" applyProtection="1">
      <alignment horizontal="right" vertical="top"/>
      <protection locked="0"/>
    </xf>
    <xf numFmtId="0" fontId="44" fillId="0" borderId="79" xfId="0" applyFont="1" applyBorder="1" applyAlignment="1" applyProtection="1">
      <alignment horizontal="right" vertical="top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12" xfId="0" applyFont="1" applyFill="1" applyBorder="1" applyAlignment="1" applyProtection="1">
      <alignment horizontal="right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12" xfId="0" applyNumberFormat="1" applyFont="1" applyFill="1" applyBorder="1" applyAlignment="1" applyProtection="1">
      <alignment horizontal="right"/>
    </xf>
    <xf numFmtId="166" fontId="12" fillId="0" borderId="44" xfId="0" applyNumberFormat="1" applyFont="1" applyFill="1" applyBorder="1" applyAlignment="1" applyProtection="1">
      <alignment horizontal="center"/>
    </xf>
    <xf numFmtId="0" fontId="18" fillId="0" borderId="55" xfId="9" applyFont="1" applyBorder="1" applyAlignment="1">
      <alignment horizontal="center"/>
    </xf>
    <xf numFmtId="49" fontId="29" fillId="0" borderId="55" xfId="9" applyNumberFormat="1" applyFont="1" applyBorder="1" applyAlignment="1">
      <alignment horizontal="left"/>
    </xf>
    <xf numFmtId="49" fontId="29" fillId="0" borderId="55" xfId="9" applyNumberFormat="1" applyFont="1" applyBorder="1" applyAlignment="1">
      <alignment horizontal="center"/>
    </xf>
    <xf numFmtId="0" fontId="29" fillId="0" borderId="20" xfId="9" applyFont="1" applyBorder="1" applyAlignment="1">
      <alignment horizontal="left"/>
    </xf>
    <xf numFmtId="0" fontId="18" fillId="0" borderId="54" xfId="9" applyFont="1" applyBorder="1" applyAlignment="1">
      <alignment horizontal="center"/>
    </xf>
    <xf numFmtId="0" fontId="29" fillId="0" borderId="33" xfId="9" applyFont="1" applyBorder="1" applyAlignment="1">
      <alignment horizontal="center"/>
    </xf>
    <xf numFmtId="165" fontId="12" fillId="0" borderId="11" xfId="0" applyNumberFormat="1" applyFont="1" applyFill="1" applyBorder="1" applyAlignment="1" applyProtection="1">
      <alignment horizontal="center" vertical="center"/>
    </xf>
    <xf numFmtId="165" fontId="0" fillId="0" borderId="74" xfId="0" applyNumberFormat="1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left" vertical="center" wrapText="1"/>
    </xf>
    <xf numFmtId="0" fontId="29" fillId="2" borderId="171" xfId="12" applyFont="1" applyFill="1" applyBorder="1" applyAlignment="1">
      <alignment horizontal="center" vertical="center"/>
    </xf>
    <xf numFmtId="0" fontId="29" fillId="2" borderId="172" xfId="12" applyFont="1" applyFill="1" applyBorder="1" applyAlignment="1">
      <alignment horizontal="center" vertical="center"/>
    </xf>
    <xf numFmtId="0" fontId="29" fillId="2" borderId="173" xfId="12" applyFont="1" applyFill="1" applyBorder="1" applyAlignment="1">
      <alignment horizontal="center" vertical="center"/>
    </xf>
    <xf numFmtId="49" fontId="29" fillId="2" borderId="171" xfId="12" applyNumberFormat="1" applyFont="1" applyFill="1" applyBorder="1" applyAlignment="1">
      <alignment horizontal="center" vertical="center"/>
    </xf>
    <xf numFmtId="49" fontId="29" fillId="2" borderId="172" xfId="12" applyNumberFormat="1" applyFont="1" applyFill="1" applyBorder="1" applyAlignment="1">
      <alignment horizontal="center" vertical="center"/>
    </xf>
    <xf numFmtId="49" fontId="29" fillId="2" borderId="173" xfId="12" applyNumberFormat="1" applyFont="1" applyFill="1" applyBorder="1" applyAlignment="1">
      <alignment horizontal="center" vertical="center"/>
    </xf>
    <xf numFmtId="0" fontId="29" fillId="2" borderId="8" xfId="12" applyFont="1" applyFill="1" applyBorder="1" applyAlignment="1">
      <alignment horizontal="center" vertical="center"/>
    </xf>
    <xf numFmtId="0" fontId="29" fillId="2" borderId="19" xfId="12" applyFont="1" applyFill="1" applyBorder="1" applyAlignment="1">
      <alignment horizontal="center" vertical="center"/>
    </xf>
    <xf numFmtId="165" fontId="0" fillId="0" borderId="74" xfId="0" applyNumberForma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12" fillId="0" borderId="75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Alignment="1">
      <alignment horizontal="left" vertical="center" wrapText="1"/>
    </xf>
    <xf numFmtId="0" fontId="38" fillId="0" borderId="11" xfId="9" applyFont="1" applyBorder="1" applyAlignment="1">
      <alignment horizontal="center" vertical="center"/>
    </xf>
    <xf numFmtId="49" fontId="42" fillId="0" borderId="46" xfId="9" applyNumberFormat="1" applyFont="1" applyBorder="1" applyAlignment="1">
      <alignment horizontal="left" vertical="center"/>
    </xf>
    <xf numFmtId="49" fontId="44" fillId="0" borderId="46" xfId="9" applyNumberFormat="1" applyFont="1" applyBorder="1" applyAlignment="1">
      <alignment horizontal="left" vertical="center"/>
    </xf>
    <xf numFmtId="0" fontId="38" fillId="0" borderId="82" xfId="9" applyFont="1" applyBorder="1" applyAlignment="1">
      <alignment horizontal="center" vertical="center"/>
    </xf>
    <xf numFmtId="165" fontId="11" fillId="0" borderId="0" xfId="43" applyNumberFormat="1" applyFont="1" applyFill="1" applyBorder="1" applyAlignment="1" applyProtection="1">
      <alignment horizontal="center" vertical="center" wrapText="1"/>
    </xf>
    <xf numFmtId="0" fontId="17" fillId="0" borderId="0" xfId="42" applyFont="1" applyFill="1" applyBorder="1" applyAlignment="1" applyProtection="1">
      <alignment horizontal="right"/>
    </xf>
    <xf numFmtId="0" fontId="10" fillId="0" borderId="0" xfId="42" applyFont="1" applyFill="1" applyBorder="1" applyAlignment="1" applyProtection="1">
      <alignment horizontal="right"/>
    </xf>
    <xf numFmtId="0" fontId="12" fillId="0" borderId="283" xfId="43" applyFont="1" applyFill="1" applyBorder="1" applyAlignment="1">
      <alignment horizontal="center" vertical="center" wrapText="1"/>
    </xf>
    <xf numFmtId="0" fontId="12" fillId="0" borderId="279" xfId="43" applyFont="1" applyFill="1" applyBorder="1" applyAlignment="1">
      <alignment horizontal="center" vertical="center" wrapText="1"/>
    </xf>
    <xf numFmtId="0" fontId="12" fillId="0" borderId="282" xfId="43" applyFont="1" applyFill="1" applyBorder="1" applyAlignment="1">
      <alignment horizontal="center" vertical="center" wrapText="1"/>
    </xf>
    <xf numFmtId="0" fontId="12" fillId="0" borderId="280" xfId="43" applyFont="1" applyFill="1" applyBorder="1" applyAlignment="1">
      <alignment horizontal="center" vertical="center" wrapText="1"/>
    </xf>
    <xf numFmtId="165" fontId="27" fillId="0" borderId="0" xfId="19" applyNumberFormat="1" applyFont="1" applyFill="1" applyBorder="1" applyAlignment="1" applyProtection="1">
      <alignment horizontal="center" vertical="center" wrapText="1"/>
    </xf>
    <xf numFmtId="0" fontId="12" fillId="2" borderId="235" xfId="19" applyFont="1" applyFill="1" applyBorder="1" applyAlignment="1" applyProtection="1">
      <alignment horizontal="left"/>
    </xf>
    <xf numFmtId="0" fontId="13" fillId="0" borderId="35" xfId="19" applyFont="1" applyFill="1" applyBorder="1" applyAlignment="1">
      <alignment horizontal="justify" vertical="center" wrapText="1"/>
    </xf>
    <xf numFmtId="165" fontId="27" fillId="0" borderId="295" xfId="25" applyNumberFormat="1" applyFont="1" applyFill="1" applyBorder="1" applyAlignment="1">
      <alignment horizontal="center" vertical="center"/>
    </xf>
    <xf numFmtId="165" fontId="27" fillId="0" borderId="117" xfId="25" applyNumberFormat="1" applyFont="1" applyFill="1" applyBorder="1" applyAlignment="1">
      <alignment horizontal="center" vertical="center"/>
    </xf>
    <xf numFmtId="165" fontId="27" fillId="0" borderId="295" xfId="25" applyNumberFormat="1" applyFont="1" applyFill="1" applyBorder="1" applyAlignment="1">
      <alignment horizontal="center" vertical="center" wrapText="1"/>
    </xf>
    <xf numFmtId="165" fontId="27" fillId="0" borderId="117" xfId="25" applyNumberFormat="1" applyFont="1" applyFill="1" applyBorder="1" applyAlignment="1">
      <alignment horizontal="center" vertical="center" wrapText="1"/>
    </xf>
    <xf numFmtId="165" fontId="27" fillId="0" borderId="296" xfId="25" applyNumberFormat="1" applyFont="1" applyFill="1" applyBorder="1" applyAlignment="1">
      <alignment horizontal="center" vertical="center"/>
    </xf>
    <xf numFmtId="165" fontId="27" fillId="0" borderId="297" xfId="25" applyNumberFormat="1" applyFont="1" applyFill="1" applyBorder="1" applyAlignment="1">
      <alignment horizontal="center" vertical="center"/>
    </xf>
    <xf numFmtId="0" fontId="102" fillId="0" borderId="0" xfId="25" applyNumberFormat="1" applyFont="1" applyFill="1" applyAlignment="1">
      <alignment horizontal="left" wrapText="1"/>
    </xf>
    <xf numFmtId="165" fontId="12" fillId="0" borderId="85" xfId="25" applyNumberFormat="1" applyFont="1" applyFill="1" applyBorder="1" applyAlignment="1">
      <alignment horizontal="left" vertical="center" wrapText="1" indent="2"/>
    </xf>
    <xf numFmtId="165" fontId="12" fillId="0" borderId="87" xfId="25" applyNumberFormat="1" applyFont="1" applyFill="1" applyBorder="1" applyAlignment="1">
      <alignment horizontal="left" vertical="center" wrapText="1" indent="2"/>
    </xf>
    <xf numFmtId="3" fontId="9" fillId="0" borderId="284" xfId="16" applyNumberFormat="1" applyFont="1" applyFill="1" applyBorder="1" applyAlignment="1" applyProtection="1">
      <alignment horizontal="right" vertical="center"/>
      <protection locked="0"/>
    </xf>
    <xf numFmtId="0" fontId="12" fillId="0" borderId="0" xfId="16" applyFont="1" applyFill="1" applyBorder="1" applyAlignment="1" applyProtection="1">
      <alignment horizontal="left" wrapText="1"/>
      <protection locked="0"/>
    </xf>
    <xf numFmtId="0" fontId="24" fillId="0" borderId="0" xfId="16" applyFont="1" applyFill="1" applyBorder="1" applyAlignment="1">
      <alignment horizontal="right"/>
    </xf>
    <xf numFmtId="0" fontId="21" fillId="0" borderId="285" xfId="26" applyFont="1" applyFill="1" applyBorder="1" applyAlignment="1" applyProtection="1">
      <alignment horizontal="left" vertical="center" indent="1"/>
    </xf>
    <xf numFmtId="0" fontId="29" fillId="0" borderId="53" xfId="21" applyFont="1" applyBorder="1" applyAlignment="1">
      <alignment horizontal="center" vertical="center"/>
    </xf>
    <xf numFmtId="0" fontId="29" fillId="0" borderId="304" xfId="0" applyFont="1" applyBorder="1" applyAlignment="1">
      <alignment horizontal="center" vertical="center" wrapText="1"/>
    </xf>
    <xf numFmtId="0" fontId="38" fillId="0" borderId="304" xfId="21" applyFont="1" applyFill="1" applyBorder="1" applyAlignment="1">
      <alignment horizontal="center" wrapText="1"/>
    </xf>
    <xf numFmtId="0" fontId="29" fillId="0" borderId="304" xfId="21" applyFont="1" applyBorder="1" applyAlignment="1">
      <alignment horizontal="center" vertical="center" wrapText="1"/>
    </xf>
    <xf numFmtId="0" fontId="60" fillId="0" borderId="0" xfId="37" applyFont="1" applyBorder="1" applyAlignment="1">
      <alignment horizontal="center" vertical="center" wrapText="1"/>
    </xf>
    <xf numFmtId="0" fontId="60" fillId="0" borderId="289" xfId="46" applyFont="1" applyFill="1" applyBorder="1" applyAlignment="1">
      <alignment horizontal="center" vertical="center"/>
    </xf>
    <xf numFmtId="0" fontId="60" fillId="0" borderId="314" xfId="46" applyFont="1" applyFill="1" applyBorder="1" applyAlignment="1">
      <alignment horizontal="center" vertical="center" wrapText="1"/>
    </xf>
    <xf numFmtId="3" fontId="60" fillId="0" borderId="314" xfId="46" applyNumberFormat="1" applyFont="1" applyFill="1" applyBorder="1" applyAlignment="1">
      <alignment horizontal="center" vertical="center"/>
    </xf>
    <xf numFmtId="3" fontId="60" fillId="0" borderId="314" xfId="46" applyNumberFormat="1" applyFont="1" applyFill="1" applyBorder="1" applyAlignment="1">
      <alignment horizontal="center" vertical="center" wrapText="1"/>
    </xf>
    <xf numFmtId="3" fontId="46" fillId="0" borderId="32" xfId="46" applyNumberFormat="1" applyFont="1" applyFill="1" applyBorder="1" applyAlignment="1">
      <alignment horizontal="right" vertical="center"/>
    </xf>
    <xf numFmtId="0" fontId="60" fillId="0" borderId="314" xfId="46" applyFont="1" applyFill="1" applyBorder="1" applyAlignment="1">
      <alignment horizontal="center" vertical="center"/>
    </xf>
    <xf numFmtId="3" fontId="46" fillId="0" borderId="315" xfId="46" applyNumberFormat="1" applyFont="1" applyFill="1" applyBorder="1" applyAlignment="1">
      <alignment horizontal="right" vertical="center"/>
    </xf>
    <xf numFmtId="3" fontId="46" fillId="0" borderId="318" xfId="46" applyNumberFormat="1" applyFont="1" applyFill="1" applyBorder="1" applyAlignment="1">
      <alignment horizontal="right" vertical="center"/>
    </xf>
    <xf numFmtId="3" fontId="60" fillId="20" borderId="314" xfId="37" applyNumberFormat="1" applyFont="1" applyFill="1" applyBorder="1" applyAlignment="1">
      <alignment horizontal="right" vertical="center"/>
    </xf>
    <xf numFmtId="3" fontId="46" fillId="20" borderId="314" xfId="37" applyNumberFormat="1" applyFont="1" applyFill="1" applyBorder="1" applyAlignment="1">
      <alignment horizontal="right" vertical="center"/>
    </xf>
    <xf numFmtId="3" fontId="46" fillId="0" borderId="316" xfId="46" applyNumberFormat="1" applyFont="1" applyFill="1" applyBorder="1" applyAlignment="1">
      <alignment horizontal="right" vertical="center"/>
    </xf>
    <xf numFmtId="0" fontId="54" fillId="0" borderId="79" xfId="37" applyFont="1" applyBorder="1" applyAlignment="1">
      <alignment horizontal="center" vertical="center" wrapText="1"/>
    </xf>
    <xf numFmtId="0" fontId="109" fillId="0" borderId="0" xfId="37" applyFont="1" applyBorder="1" applyAlignment="1">
      <alignment horizontal="center" vertical="center" wrapText="1"/>
    </xf>
    <xf numFmtId="0" fontId="110" fillId="0" borderId="0" xfId="37" applyFont="1" applyBorder="1" applyAlignment="1">
      <alignment horizontal="center" vertical="center" wrapText="1"/>
    </xf>
    <xf numFmtId="0" fontId="39" fillId="0" borderId="0" xfId="37" applyFont="1" applyBorder="1" applyAlignment="1">
      <alignment horizontal="center" vertical="center" wrapText="1"/>
    </xf>
    <xf numFmtId="0" fontId="38" fillId="0" borderId="314" xfId="46" applyFont="1" applyFill="1" applyBorder="1" applyAlignment="1">
      <alignment horizontal="center" vertical="center"/>
    </xf>
    <xf numFmtId="0" fontId="38" fillId="0" borderId="314" xfId="46" applyFont="1" applyFill="1" applyBorder="1" applyAlignment="1">
      <alignment horizontal="center" vertical="center" wrapText="1"/>
    </xf>
    <xf numFmtId="3" fontId="38" fillId="0" borderId="314" xfId="46" applyNumberFormat="1" applyFont="1" applyFill="1" applyBorder="1" applyAlignment="1">
      <alignment horizontal="center" vertical="center" wrapText="1"/>
    </xf>
    <xf numFmtId="0" fontId="54" fillId="0" borderId="0" xfId="30" applyFont="1" applyBorder="1" applyAlignment="1">
      <alignment horizontal="left"/>
    </xf>
    <xf numFmtId="0" fontId="12" fillId="0" borderId="29" xfId="0" applyFont="1" applyFill="1" applyBorder="1" applyAlignment="1">
      <alignment horizontal="center" vertical="center" wrapText="1"/>
    </xf>
  </cellXfs>
  <cellStyles count="47">
    <cellStyle name="Ezres [0] 2" xfId="32"/>
    <cellStyle name="Ezres 2" xfId="1"/>
    <cellStyle name="Ezres 2 2" xfId="2"/>
    <cellStyle name="Ezres 2 2 2" xfId="31"/>
    <cellStyle name="Ezres 2 3" xfId="3"/>
    <cellStyle name="Ezres 2 3 2" xfId="28"/>
    <cellStyle name="Ezres 2_2011_évi _Zárszámadáshoz_EU-s_projektek" xfId="33"/>
    <cellStyle name="Ezres 3" xfId="4"/>
    <cellStyle name="Ezres 3 2" xfId="34"/>
    <cellStyle name="Ezres 4" xfId="5"/>
    <cellStyle name="Ezres 5" xfId="6"/>
    <cellStyle name="Ezres 6" xfId="35"/>
    <cellStyle name="Ezres 7" xfId="36"/>
    <cellStyle name="Hiperhivatkozás" xfId="7"/>
    <cellStyle name="Már látott hiperhivatkozás" xfId="8"/>
    <cellStyle name="Normál" xfId="0" builtinId="0"/>
    <cellStyle name="Normál 10" xfId="23"/>
    <cellStyle name="Normál 10 2" xfId="29"/>
    <cellStyle name="Normál 2" xfId="9"/>
    <cellStyle name="Normál 2 2" xfId="10"/>
    <cellStyle name="Normál 2 2 2" xfId="21"/>
    <cellStyle name="Normál 2 3" xfId="30"/>
    <cellStyle name="Normál 2_11 mellék 2011.06.30." xfId="11"/>
    <cellStyle name="Normál 3" xfId="12"/>
    <cellStyle name="Normál 3 2" xfId="37"/>
    <cellStyle name="Normál 3_küldeni Zárás 2011 mellékletek" xfId="38"/>
    <cellStyle name="Normál 4" xfId="13"/>
    <cellStyle name="Normál 4 2" xfId="14"/>
    <cellStyle name="Normál 4 2 2" xfId="27"/>
    <cellStyle name="Normál 5" xfId="15"/>
    <cellStyle name="Normál 5 2" xfId="16"/>
    <cellStyle name="Normál 5_2011_évi _Zárszámadáshoz_EU-s_projektek" xfId="39"/>
    <cellStyle name="Normál 6" xfId="17"/>
    <cellStyle name="Normál 7" xfId="18"/>
    <cellStyle name="Normál 7 2" xfId="40"/>
    <cellStyle name="Normál 8" xfId="20"/>
    <cellStyle name="Normál 8 2" xfId="42"/>
    <cellStyle name="Normál 9" xfId="22"/>
    <cellStyle name="Normál 9 2" xfId="24"/>
    <cellStyle name="Normál_KVIREND 2" xfId="25"/>
    <cellStyle name="Normál_KVRENMUNKA" xfId="19"/>
    <cellStyle name="Normál_KVRENMUNKA 2" xfId="44"/>
    <cellStyle name="Normál_KVRENMUNKA 3" xfId="43"/>
    <cellStyle name="Normál_minta 2" xfId="45"/>
    <cellStyle name="Normál_SEGEDLETEK" xfId="26"/>
    <cellStyle name="Normál_vagyonkimutatás" xfId="46"/>
    <cellStyle name="Százalék 2" xfId="41"/>
  </cellStyles>
  <dxfs count="2">
    <dxf>
      <font>
        <b val="0"/>
        <condense val="0"/>
        <extend val="0"/>
        <sz val="11"/>
        <color indexed="13"/>
      </font>
    </dxf>
    <dxf>
      <font>
        <b val="0"/>
        <condense val="0"/>
        <extend val="0"/>
        <sz val="11"/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2.%20&#233;vi%20z&#225;r&#225;s\z&#225;rsz&#225;mad&#225;s\2013-04-26\IV.%20negyed&#233;vi%20rend%20m&#243;d\2012%20Rendeletm&#243;dos&#237;t&#225;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nzugy_Kozos\k\2012\2012%20Rendeletm&#243;dos&#237;t&#225;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nzugy_Kozos/k/2013/2013%20Rendeletm&#243;dos&#237;t&#225;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nzugy_Kozos/k/2013/k&#246;lts&#233;gvet&#233;s/Test&#252;letnek/V&#233;gleges/2013.%20&#233;vi%20k&#246;lts&#233;gvet&#233;s%20NULL&#193;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enzugy_Kozos/k/2013/2013.III.n&#233;v/Test&#252;letnek/I-IX.%20havui%20t&#225;j&#233;koztat&#243;/M&#225;solat%20eredetije2013.%20III.n&#233;vi%20besz&#225;mol&#243;%20CSASEG%20n&#233;lk&#252;l%2013-11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a.sz.mell.I.fév"/>
      <sheetName val="9b.sz.mell.I.fév"/>
      <sheetName val="8.sz.mell.I.fév."/>
      <sheetName val="8.sz.mell.III név."/>
      <sheetName val="9a.sz.mell.III.név "/>
      <sheetName val="9b.sz.mell.III.fév"/>
      <sheetName val="8.sz.mell.IV.név"/>
      <sheetName val="9a.sz.mell.IV.név"/>
      <sheetName val="9b.sz.mell.IV.né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a.sz.mell.I.fév"/>
      <sheetName val="9b.sz.mell.I.fév"/>
      <sheetName val="8.sz.mell.I.fév."/>
      <sheetName val="8.sz.mell.III név."/>
      <sheetName val="9a.sz.mell.III.név "/>
      <sheetName val="9b.sz.mell.III.fév"/>
      <sheetName val="8.sz.mell.IV.név"/>
      <sheetName val="9a.sz.mell.IV.név"/>
      <sheetName val="9b.sz.mell.IV.né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sz.mell.II.név"/>
      <sheetName val="9b.sz.mell.II.név"/>
      <sheetName val="9a.sz.mell.II.név"/>
      <sheetName val="8.sz.mell.III.név "/>
      <sheetName val="9a.sz.mell.III.név"/>
      <sheetName val="9b.sz.mell.III.név"/>
      <sheetName val="Adótöbblet bevétel"/>
      <sheetName val="8.sz.mell.IV.név"/>
      <sheetName val="9a.sz.mell.VI.név "/>
      <sheetName val="9b.sz.mell.IV.név 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sz. mell."/>
      <sheetName val="1.sz.mell."/>
      <sheetName val="1.1.sz.mell  "/>
      <sheetName val="1.2.sz.mell  "/>
      <sheetName val="1.3. sz. mell"/>
      <sheetName val="1.4. sz. mell"/>
      <sheetName val="1.5. sz. mell"/>
      <sheetName val="2. sz. mell "/>
      <sheetName val="3. sz. mell"/>
      <sheetName val="3.1.asz.melléklet"/>
      <sheetName val="3.2.sz.melléklet"/>
      <sheetName val="4. sz. mell."/>
      <sheetName val="4.1 sz. mell"/>
      <sheetName val="4.2. sz. mell"/>
      <sheetName val="4.3 sz. mell"/>
      <sheetName val="4.4.sz. mell."/>
      <sheetName val="4.5.sz. mell. "/>
      <sheetName val="4.6 sz. mell."/>
      <sheetName val="4.7.sz. mell."/>
      <sheetName val="4.8.sz. mell."/>
      <sheetName val="5. sz. mell. "/>
      <sheetName val="5.1. sz. mell. "/>
      <sheetName val="5.2. sz. mell.  "/>
      <sheetName val="5.3 sz. mell"/>
      <sheetName val="5.4. sz mell"/>
      <sheetName val="5.5. sz. mell.  "/>
      <sheetName val="5.6. sz. mell"/>
      <sheetName val="5.7. sz. mell."/>
      <sheetName val="5.8. sz. mell."/>
      <sheetName val="5.9. sz. mell. "/>
      <sheetName val="5.9.1..sz mell."/>
      <sheetName val="5.10. sz. mell."/>
      <sheetName val="5.10.1..sz mell."/>
      <sheetName val="5.11 sz. mell "/>
      <sheetName val="5.11.1. sz. mell."/>
      <sheetName val="6.1.sz.mell. "/>
      <sheetName val="6.2.sz.mell."/>
      <sheetName val="7.1. sz mell."/>
      <sheetName val="7.2.. sz mell."/>
      <sheetName val="8.1.sz.mell."/>
      <sheetName val="8.2.sz.mell."/>
      <sheetName val="8.3.sz.mell."/>
      <sheetName val="9. sz. mell"/>
      <sheetName val="9.1. sz mell"/>
      <sheetName val="10.sz. mell. "/>
      <sheetName val="11.sz.mell."/>
      <sheetName val="12. sz. mell."/>
      <sheetName val="13. sz. mell."/>
      <sheetName val="14.sz.mell"/>
      <sheetName val="15.sz.mell."/>
      <sheetName val="16. sz. mell."/>
      <sheetName val="Munka1"/>
      <sheetName val="Munka2"/>
      <sheetName val="5.1. sz. mell."/>
      <sheetName val="5.2. sz. mell."/>
      <sheetName val="5.3. sz. mell."/>
      <sheetName val="5.4. sz. mell. "/>
      <sheetName val="5.5. sz. mell."/>
      <sheetName val="5.6. sz. mell."/>
      <sheetName val="2013."/>
      <sheetName val="Kötelező feladatok"/>
      <sheetName val="Önként vállalt feladatok"/>
      <sheetName val="Államigazgatási fel."/>
      <sheetName val="11.sz.mellékl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4">
          <cell r="I54">
            <v>0</v>
          </cell>
          <cell r="M54">
            <v>1297028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sz. mell."/>
      <sheetName val="1.sz.mell."/>
      <sheetName val="1.1.sz.mell  "/>
      <sheetName val="1.2.sz.mell  "/>
      <sheetName val="1.3. sz. mell"/>
      <sheetName val="1.4. sz. mell"/>
      <sheetName val="1.5. sz. mell"/>
      <sheetName val="2. sz. mell "/>
      <sheetName val="3. sz. mell"/>
      <sheetName val="3.1.asz.melléklet"/>
      <sheetName val="3.2.sz.melléklet"/>
      <sheetName val="4. sz. mell."/>
      <sheetName val="4.1 sz. mell"/>
      <sheetName val="4.2. sz. mell"/>
      <sheetName val="4.3 sz. mell"/>
      <sheetName val="4.4.sz. mell."/>
      <sheetName val="4.5.sz. mell. "/>
      <sheetName val="4.6 sz. mell."/>
      <sheetName val="4.7.sz. mell."/>
      <sheetName val="4.8.sz. mell."/>
      <sheetName val="5. sz. mell. "/>
      <sheetName val="5.1. sz. mell. "/>
      <sheetName val="5.2. sz. mell.  "/>
      <sheetName val="5.3 sz. mell"/>
      <sheetName val="5.4. sz mell"/>
      <sheetName val="5.5. sz. mell.  "/>
      <sheetName val="5.6. sz. mell"/>
      <sheetName val="5.7. sz. mell."/>
      <sheetName val="5.8. sz. mell."/>
      <sheetName val="5.9. sz. mell. "/>
      <sheetName val="5.9.1..sz mell."/>
      <sheetName val="5.10. sz. mell."/>
      <sheetName val="5.10.1..sz mell."/>
      <sheetName val="5.11 sz. mell "/>
      <sheetName val="5.11.1. sz. mell."/>
      <sheetName val="6.1.sz.mell. "/>
      <sheetName val="6.2.sz.mell."/>
      <sheetName val="7.1. sz mell."/>
      <sheetName val="7.2.. sz mell."/>
      <sheetName val="8.1.sz.mell."/>
      <sheetName val="8.2.sz.mell."/>
      <sheetName val="8.3.sz.mell."/>
      <sheetName val="9. sz. mell"/>
      <sheetName val="9.1. sz mell"/>
      <sheetName val="10.sz. mell."/>
      <sheetName val="11.sz.mell."/>
      <sheetName val="12. sz. mell."/>
      <sheetName val="13. sz. mell. "/>
      <sheetName val="14.sz.mell"/>
      <sheetName val="15.sz.mell."/>
      <sheetName val="16. sz. mell."/>
      <sheetName val="Munka1"/>
      <sheetName val="Munka2"/>
      <sheetName val="."/>
      <sheetName val=".."/>
      <sheetName val="..."/>
      <sheetName val=".-"/>
      <sheetName val=".-."/>
      <sheetName val=",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">
          <cell r="D9">
            <v>1515000</v>
          </cell>
        </row>
      </sheetData>
      <sheetData sheetId="9">
        <row r="15">
          <cell r="E15">
            <v>50803</v>
          </cell>
        </row>
      </sheetData>
      <sheetData sheetId="10">
        <row r="142">
          <cell r="E142">
            <v>44500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tabSelected="1" view="pageBreakPreview" zoomScaleSheetLayoutView="100" workbookViewId="0">
      <selection activeCell="H80" sqref="H80"/>
    </sheetView>
  </sheetViews>
  <sheetFormatPr defaultRowHeight="15"/>
  <cols>
    <col min="1" max="1" width="4.33203125" style="864" customWidth="1"/>
    <col min="2" max="2" width="56.5" style="864" customWidth="1"/>
    <col min="3" max="3" width="16" style="938" hidden="1" customWidth="1"/>
    <col min="4" max="4" width="16.83203125" style="938" hidden="1" customWidth="1"/>
    <col min="5" max="7" width="16" style="938" customWidth="1"/>
    <col min="8" max="8" width="9.33203125" style="864"/>
    <col min="9" max="9" width="12" style="864" customWidth="1"/>
    <col min="10" max="10" width="12.5" style="864" customWidth="1"/>
    <col min="11" max="11" width="12.6640625" style="864" customWidth="1"/>
    <col min="12" max="16384" width="9.33203125" style="864"/>
  </cols>
  <sheetData>
    <row r="1" spans="1:9" ht="39.75" customHeight="1" thickBot="1">
      <c r="A1" s="861"/>
      <c r="B1" s="862" t="s">
        <v>1177</v>
      </c>
      <c r="C1" s="863" t="s">
        <v>1388</v>
      </c>
      <c r="D1" s="863" t="s">
        <v>1389</v>
      </c>
      <c r="E1" s="90" t="s">
        <v>1267</v>
      </c>
      <c r="F1" s="90" t="s">
        <v>1809</v>
      </c>
      <c r="G1" s="90" t="s">
        <v>1810</v>
      </c>
    </row>
    <row r="2" spans="1:9" ht="24.75" customHeight="1" thickBot="1">
      <c r="A2" s="865"/>
      <c r="B2" s="866" t="s">
        <v>1390</v>
      </c>
      <c r="C2" s="867"/>
      <c r="D2" s="867"/>
      <c r="E2" s="867"/>
      <c r="F2" s="867"/>
      <c r="G2" s="867"/>
      <c r="H2" s="868"/>
      <c r="I2" s="868"/>
    </row>
    <row r="3" spans="1:9" ht="20.25" customHeight="1" thickBot="1">
      <c r="A3" s="869" t="s">
        <v>927</v>
      </c>
      <c r="B3" s="1796" t="s">
        <v>1391</v>
      </c>
      <c r="C3" s="1797"/>
      <c r="D3" s="870"/>
      <c r="E3" s="870"/>
      <c r="F3" s="870"/>
      <c r="G3" s="870"/>
      <c r="H3" s="868"/>
      <c r="I3" s="868"/>
    </row>
    <row r="4" spans="1:9" ht="46.5" customHeight="1">
      <c r="A4" s="871" t="s">
        <v>4</v>
      </c>
      <c r="B4" s="872" t="s">
        <v>1392</v>
      </c>
      <c r="C4" s="945">
        <v>1180440</v>
      </c>
      <c r="D4" s="945">
        <v>1120047</v>
      </c>
      <c r="E4" s="945">
        <f>SUM('1.sz.mell.'!C24)</f>
        <v>526670</v>
      </c>
      <c r="F4" s="945">
        <f>SUM('1.sz.mell.'!D24)</f>
        <v>636755</v>
      </c>
      <c r="G4" s="945">
        <f>SUM('1.sz.mell.'!E24)</f>
        <v>636755</v>
      </c>
      <c r="H4" s="868"/>
      <c r="I4" s="868"/>
    </row>
    <row r="5" spans="1:9" ht="39" customHeight="1" thickBot="1">
      <c r="A5" s="875" t="s">
        <v>5</v>
      </c>
      <c r="B5" s="876" t="s">
        <v>1393</v>
      </c>
      <c r="C5" s="945"/>
      <c r="D5" s="945">
        <v>44263</v>
      </c>
      <c r="E5" s="946"/>
      <c r="F5" s="1095"/>
      <c r="G5" s="946"/>
      <c r="H5" s="868"/>
      <c r="I5" s="868"/>
    </row>
    <row r="6" spans="1:9" ht="39" customHeight="1" thickBot="1">
      <c r="A6" s="875" t="s">
        <v>19</v>
      </c>
      <c r="B6" s="1285" t="s">
        <v>2060</v>
      </c>
      <c r="C6" s="1286"/>
      <c r="D6" s="1286"/>
      <c r="E6" s="946"/>
      <c r="F6" s="1095">
        <v>9471</v>
      </c>
      <c r="G6" s="1095">
        <v>9471</v>
      </c>
      <c r="H6" s="868"/>
      <c r="I6" s="868"/>
    </row>
    <row r="7" spans="1:9" ht="20.25" customHeight="1" thickBot="1">
      <c r="A7" s="1789" t="s">
        <v>1394</v>
      </c>
      <c r="B7" s="1790"/>
      <c r="C7" s="1790"/>
      <c r="D7" s="1790"/>
      <c r="E7" s="1790"/>
      <c r="F7" s="1091"/>
      <c r="G7" s="1091"/>
      <c r="H7" s="868"/>
      <c r="I7" s="868"/>
    </row>
    <row r="8" spans="1:9" ht="20.25" customHeight="1">
      <c r="A8" s="877" t="s">
        <v>19</v>
      </c>
      <c r="B8" s="878" t="s">
        <v>1395</v>
      </c>
      <c r="C8" s="943">
        <f t="shared" ref="C8:D8" si="0">SUM(C9:C17)</f>
        <v>421525</v>
      </c>
      <c r="D8" s="943">
        <f t="shared" si="0"/>
        <v>457103</v>
      </c>
      <c r="E8" s="943">
        <f>SUM(E9:E19)</f>
        <v>447504</v>
      </c>
      <c r="F8" s="943">
        <f t="shared" ref="F8:G8" si="1">SUM(F9:F19)</f>
        <v>479102</v>
      </c>
      <c r="G8" s="943">
        <f t="shared" si="1"/>
        <v>479341</v>
      </c>
      <c r="H8" s="868"/>
      <c r="I8" s="868"/>
    </row>
    <row r="9" spans="1:9" ht="20.25" customHeight="1">
      <c r="A9" s="879"/>
      <c r="B9" s="880" t="s">
        <v>1396</v>
      </c>
      <c r="C9" s="886"/>
      <c r="D9" s="886">
        <v>578</v>
      </c>
      <c r="E9" s="886"/>
      <c r="F9" s="886"/>
      <c r="G9" s="886"/>
      <c r="H9" s="868"/>
      <c r="I9" s="868"/>
    </row>
    <row r="10" spans="1:9" ht="20.25" customHeight="1">
      <c r="A10" s="879"/>
      <c r="B10" s="880" t="s">
        <v>1397</v>
      </c>
      <c r="C10" s="886">
        <v>409710</v>
      </c>
      <c r="D10" s="886">
        <v>447855</v>
      </c>
      <c r="E10" s="886">
        <f>SUM('1.sz.mell.'!C36)</f>
        <v>442256</v>
      </c>
      <c r="F10" s="886">
        <f>SUM('1.sz.mell.'!D36)</f>
        <v>420756</v>
      </c>
      <c r="G10" s="886">
        <f>SUM('1.sz.mell.'!E36)</f>
        <v>415579</v>
      </c>
      <c r="H10" s="868"/>
      <c r="I10" s="868"/>
    </row>
    <row r="11" spans="1:9" ht="20.25" customHeight="1">
      <c r="A11" s="879"/>
      <c r="B11" s="880" t="s">
        <v>1398</v>
      </c>
      <c r="C11" s="886">
        <v>11815</v>
      </c>
      <c r="D11" s="886">
        <v>8670</v>
      </c>
      <c r="E11" s="886">
        <f>SUM('1.sz.mell.'!C40)+'1.sz.mell.'!C37</f>
        <v>5248</v>
      </c>
      <c r="F11" s="886">
        <f>SUM('1.sz.mell.'!D40)+'1.sz.mell.'!D37</f>
        <v>15235</v>
      </c>
      <c r="G11" s="886">
        <f>SUM('1.sz.mell.'!E40)+'1.sz.mell.'!E37</f>
        <v>17421</v>
      </c>
      <c r="H11" s="868"/>
      <c r="I11" s="868"/>
    </row>
    <row r="12" spans="1:9" ht="20.25" customHeight="1">
      <c r="A12" s="879"/>
      <c r="B12" s="880" t="s">
        <v>1399</v>
      </c>
      <c r="C12" s="886"/>
      <c r="D12" s="886"/>
      <c r="E12" s="886"/>
      <c r="F12" s="886"/>
      <c r="G12" s="886"/>
      <c r="H12" s="868"/>
      <c r="I12" s="868"/>
    </row>
    <row r="13" spans="1:9" ht="30.75" customHeight="1">
      <c r="A13" s="1142"/>
      <c r="B13" s="1144" t="s">
        <v>1821</v>
      </c>
      <c r="C13" s="1143"/>
      <c r="D13" s="1143"/>
      <c r="E13" s="1143"/>
      <c r="F13" s="1143"/>
      <c r="G13" s="1143">
        <f>SUM('2. sz. mell '!F31)</f>
        <v>3230</v>
      </c>
      <c r="H13" s="868"/>
      <c r="I13" s="868"/>
    </row>
    <row r="14" spans="1:9" ht="30.75" customHeight="1">
      <c r="A14" s="1226"/>
      <c r="B14" s="1227" t="s">
        <v>1914</v>
      </c>
      <c r="C14" s="1228"/>
      <c r="D14" s="1228"/>
      <c r="E14" s="1228">
        <f>SUM('1.sz.mell.'!C39)</f>
        <v>0</v>
      </c>
      <c r="F14" s="1228">
        <f>SUM('1.sz.mell.'!D39)</f>
        <v>176</v>
      </c>
      <c r="G14" s="1228">
        <f>SUM('1.sz.mell.'!E39)</f>
        <v>176</v>
      </c>
      <c r="H14" s="868"/>
      <c r="I14" s="868"/>
    </row>
    <row r="15" spans="1:9" ht="46.5" customHeight="1">
      <c r="A15" s="879"/>
      <c r="B15" s="882" t="s">
        <v>1400</v>
      </c>
      <c r="C15" s="886"/>
      <c r="D15" s="886"/>
      <c r="E15" s="886"/>
      <c r="F15" s="886"/>
      <c r="G15" s="886"/>
      <c r="H15" s="868"/>
      <c r="I15" s="868"/>
    </row>
    <row r="16" spans="1:9" ht="33.75" customHeight="1">
      <c r="A16" s="879"/>
      <c r="B16" s="882" t="s">
        <v>1401</v>
      </c>
      <c r="C16" s="886"/>
      <c r="D16" s="886"/>
      <c r="E16" s="886"/>
      <c r="F16" s="886"/>
      <c r="G16" s="886"/>
      <c r="H16" s="868"/>
      <c r="I16" s="868"/>
    </row>
    <row r="17" spans="1:9" ht="29.25" customHeight="1">
      <c r="A17" s="879"/>
      <c r="B17" s="882" t="s">
        <v>1402</v>
      </c>
      <c r="C17" s="886"/>
      <c r="D17" s="886"/>
      <c r="E17" s="886"/>
      <c r="F17" s="886"/>
      <c r="G17" s="886"/>
      <c r="H17" s="868"/>
      <c r="I17" s="868"/>
    </row>
    <row r="18" spans="1:9" ht="29.25" customHeight="1">
      <c r="A18" s="1141"/>
      <c r="B18" s="1135" t="s">
        <v>1820</v>
      </c>
      <c r="C18" s="1096"/>
      <c r="D18" s="1096"/>
      <c r="E18" s="1096"/>
      <c r="F18" s="1096">
        <f>SUM('2. sz. mell '!E34)</f>
        <v>42885</v>
      </c>
      <c r="G18" s="1096">
        <f>SUM('2. sz. mell '!F34)</f>
        <v>42885</v>
      </c>
      <c r="H18" s="868"/>
      <c r="I18" s="868"/>
    </row>
    <row r="19" spans="1:9" ht="29.25" customHeight="1">
      <c r="A19" s="1226"/>
      <c r="B19" s="1227" t="s">
        <v>1915</v>
      </c>
      <c r="C19" s="1228"/>
      <c r="D19" s="1228"/>
      <c r="E19" s="1228">
        <f>SUM('1.sz.mell.'!C42)</f>
        <v>0</v>
      </c>
      <c r="F19" s="1228">
        <f>SUM('1.sz.mell.'!D42)</f>
        <v>50</v>
      </c>
      <c r="G19" s="1228">
        <f>SUM('1.sz.mell.'!E42)</f>
        <v>50</v>
      </c>
      <c r="H19" s="868"/>
      <c r="I19" s="868"/>
    </row>
    <row r="20" spans="1:9" ht="20.25" customHeight="1">
      <c r="A20" s="883" t="s">
        <v>149</v>
      </c>
      <c r="B20" s="884" t="s">
        <v>200</v>
      </c>
      <c r="C20" s="944">
        <f t="shared" ref="C20:D20" si="2">SUM(C21:C27)</f>
        <v>2113085</v>
      </c>
      <c r="D20" s="944">
        <f t="shared" si="2"/>
        <v>1947551</v>
      </c>
      <c r="E20" s="944">
        <f>SUM(E21:E27)</f>
        <v>1625000</v>
      </c>
      <c r="F20" s="944">
        <f t="shared" ref="F20:G20" si="3">SUM(F21:F27)</f>
        <v>1681447</v>
      </c>
      <c r="G20" s="944">
        <f t="shared" si="3"/>
        <v>1801946</v>
      </c>
      <c r="H20" s="868"/>
      <c r="I20" s="868"/>
    </row>
    <row r="21" spans="1:9" ht="20.25" customHeight="1">
      <c r="A21" s="883"/>
      <c r="B21" s="885" t="s">
        <v>1403</v>
      </c>
      <c r="C21" s="886">
        <v>2100517</v>
      </c>
      <c r="D21" s="886">
        <v>1935555</v>
      </c>
      <c r="E21" s="886">
        <f>SUM('1.sz.mell.'!C6+'1.sz.mell.'!C8)</f>
        <v>1615000</v>
      </c>
      <c r="F21" s="886">
        <f>SUM('1.sz.mell.'!D6+'1.sz.mell.'!D8)</f>
        <v>1671147</v>
      </c>
      <c r="G21" s="886">
        <f>SUM('1.sz.mell.'!E6+'1.sz.mell.'!E8)</f>
        <v>1779339</v>
      </c>
      <c r="H21" s="868"/>
      <c r="I21" s="868"/>
    </row>
    <row r="22" spans="1:9" ht="20.25" customHeight="1">
      <c r="A22" s="883"/>
      <c r="B22" s="885" t="s">
        <v>9</v>
      </c>
      <c r="C22" s="886"/>
      <c r="D22" s="886"/>
      <c r="E22" s="886">
        <f>SUM('1.sz.mell.'!C7)</f>
        <v>0</v>
      </c>
      <c r="F22" s="886">
        <f>SUM('1.sz.mell.'!D7)</f>
        <v>0</v>
      </c>
      <c r="G22" s="886">
        <f>SUM('1.sz.mell.'!E7)</f>
        <v>0</v>
      </c>
      <c r="H22" s="868"/>
      <c r="I22" s="868"/>
    </row>
    <row r="23" spans="1:9" ht="20.25" customHeight="1">
      <c r="A23" s="883"/>
      <c r="B23" s="885" t="s">
        <v>1404</v>
      </c>
      <c r="C23" s="886"/>
      <c r="D23" s="886"/>
      <c r="E23" s="886"/>
      <c r="F23" s="886"/>
      <c r="G23" s="886"/>
      <c r="H23" s="868"/>
      <c r="I23" s="868"/>
    </row>
    <row r="24" spans="1:9" ht="20.25" customHeight="1">
      <c r="A24" s="883"/>
      <c r="B24" s="885" t="s">
        <v>1405</v>
      </c>
      <c r="C24" s="886"/>
      <c r="D24" s="886"/>
      <c r="E24" s="886"/>
      <c r="F24" s="886"/>
      <c r="G24" s="886"/>
      <c r="H24" s="868"/>
      <c r="I24" s="868"/>
    </row>
    <row r="25" spans="1:9" ht="20.25" customHeight="1">
      <c r="A25" s="883"/>
      <c r="B25" s="885" t="s">
        <v>1406</v>
      </c>
      <c r="C25" s="886">
        <v>12568</v>
      </c>
      <c r="D25" s="886">
        <v>10673</v>
      </c>
      <c r="E25" s="886">
        <f>SUM('1.sz.mell.'!C9)</f>
        <v>10000</v>
      </c>
      <c r="F25" s="886">
        <f>SUM('1.sz.mell.'!D9+'1.sz.mell.'!D13)</f>
        <v>10062</v>
      </c>
      <c r="G25" s="886">
        <f>SUM('1.sz.mell.'!E9+'1.sz.mell.'!E13)</f>
        <v>22369</v>
      </c>
      <c r="H25" s="868"/>
      <c r="I25" s="868"/>
    </row>
    <row r="26" spans="1:9" ht="20.25" customHeight="1">
      <c r="A26" s="883"/>
      <c r="B26" s="885" t="s">
        <v>1407</v>
      </c>
      <c r="C26" s="886"/>
      <c r="D26" s="886">
        <v>1323</v>
      </c>
      <c r="E26" s="886"/>
      <c r="F26" s="886"/>
      <c r="G26" s="886"/>
      <c r="H26" s="868"/>
      <c r="I26" s="868"/>
    </row>
    <row r="27" spans="1:9" ht="20.25" customHeight="1">
      <c r="A27" s="883"/>
      <c r="B27" s="885" t="s">
        <v>1408</v>
      </c>
      <c r="C27" s="886"/>
      <c r="D27" s="886"/>
      <c r="E27" s="886">
        <f>SUM('1.sz.mell.'!C12)</f>
        <v>0</v>
      </c>
      <c r="F27" s="886">
        <f>SUM('1.sz.mell.'!D12)</f>
        <v>238</v>
      </c>
      <c r="G27" s="886">
        <f>SUM('1.sz.mell.'!E12)</f>
        <v>238</v>
      </c>
      <c r="H27" s="868"/>
      <c r="I27" s="868"/>
    </row>
    <row r="28" spans="1:9" ht="20.25" customHeight="1">
      <c r="A28" s="883" t="s">
        <v>38</v>
      </c>
      <c r="B28" s="884" t="s">
        <v>1409</v>
      </c>
      <c r="C28" s="881">
        <f t="shared" ref="C28:D28" si="4">SUM(C29:C35)</f>
        <v>715900</v>
      </c>
      <c r="D28" s="881">
        <f t="shared" si="4"/>
        <v>597076</v>
      </c>
      <c r="E28" s="881">
        <f t="shared" ref="E28:F28" si="5">SUM(E29:E36)</f>
        <v>315822</v>
      </c>
      <c r="F28" s="881">
        <f t="shared" si="5"/>
        <v>409773</v>
      </c>
      <c r="G28" s="881">
        <f>SUM(G29:G36)</f>
        <v>414085</v>
      </c>
      <c r="H28" s="868"/>
      <c r="I28" s="868"/>
    </row>
    <row r="29" spans="1:9" ht="20.25" customHeight="1">
      <c r="A29" s="887"/>
      <c r="B29" s="885" t="s">
        <v>1410</v>
      </c>
      <c r="C29" s="886"/>
      <c r="D29" s="886"/>
      <c r="E29" s="886"/>
      <c r="F29" s="886"/>
      <c r="G29" s="886"/>
      <c r="H29" s="868"/>
      <c r="I29" s="868"/>
    </row>
    <row r="30" spans="1:9" ht="20.25" customHeight="1">
      <c r="A30" s="887"/>
      <c r="B30" s="885" t="s">
        <v>24</v>
      </c>
      <c r="C30" s="886">
        <v>543561</v>
      </c>
      <c r="D30" s="886">
        <v>303243</v>
      </c>
      <c r="E30" s="886">
        <f>SUM('1.sz.mell.'!C16)</f>
        <v>200360</v>
      </c>
      <c r="F30" s="886">
        <f>SUM('1.sz.mell.'!D16)</f>
        <v>269549</v>
      </c>
      <c r="G30" s="886">
        <f>SUM('1.sz.mell.'!E16)</f>
        <v>270452</v>
      </c>
      <c r="H30" s="868"/>
      <c r="I30" s="868"/>
    </row>
    <row r="31" spans="1:9" ht="20.25" customHeight="1">
      <c r="A31" s="887"/>
      <c r="B31" s="885" t="s">
        <v>1411</v>
      </c>
      <c r="C31" s="886"/>
      <c r="D31" s="886"/>
      <c r="E31" s="886">
        <f>SUM('1.sz.mell.'!C17)</f>
        <v>55503</v>
      </c>
      <c r="F31" s="886">
        <f>SUM('1.sz.mell.'!D17)</f>
        <v>54315</v>
      </c>
      <c r="G31" s="886">
        <f>SUM('1.sz.mell.'!E17)</f>
        <v>54967</v>
      </c>
      <c r="H31" s="868"/>
      <c r="I31" s="868"/>
    </row>
    <row r="32" spans="1:9" ht="20.25" customHeight="1">
      <c r="A32" s="887"/>
      <c r="B32" s="885" t="s">
        <v>28</v>
      </c>
      <c r="C32" s="886"/>
      <c r="D32" s="886"/>
      <c r="E32" s="886">
        <f>SUM('1.sz.mell.'!C18)</f>
        <v>2571</v>
      </c>
      <c r="F32" s="886">
        <f>SUM('1.sz.mell.'!D18)</f>
        <v>1931</v>
      </c>
      <c r="G32" s="886">
        <f>SUM('1.sz.mell.'!E18)</f>
        <v>1931</v>
      </c>
      <c r="H32" s="868"/>
      <c r="I32" s="868"/>
    </row>
    <row r="33" spans="1:11" ht="20.25" customHeight="1">
      <c r="A33" s="887"/>
      <c r="B33" s="885" t="s">
        <v>30</v>
      </c>
      <c r="C33" s="886"/>
      <c r="D33" s="886"/>
      <c r="E33" s="886">
        <f>SUM('1.sz.mell.'!C19)</f>
        <v>907</v>
      </c>
      <c r="F33" s="886">
        <f>SUM('1.sz.mell.'!D19)</f>
        <v>1142</v>
      </c>
      <c r="G33" s="886">
        <f>SUM('1.sz.mell.'!E19)</f>
        <v>1142</v>
      </c>
      <c r="H33" s="868"/>
      <c r="I33" s="868"/>
    </row>
    <row r="34" spans="1:11" ht="20.25" customHeight="1">
      <c r="A34" s="887"/>
      <c r="B34" s="885" t="s">
        <v>1412</v>
      </c>
      <c r="C34" s="886">
        <v>166460</v>
      </c>
      <c r="D34" s="886">
        <v>239172</v>
      </c>
      <c r="E34" s="886">
        <f>SUM('1.sz.mell.'!C20)</f>
        <v>56481</v>
      </c>
      <c r="F34" s="886">
        <f>SUM('1.sz.mell.'!D20)</f>
        <v>74978</v>
      </c>
      <c r="G34" s="886">
        <f>SUM('1.sz.mell.'!E20)</f>
        <v>74978</v>
      </c>
      <c r="H34" s="868"/>
      <c r="I34" s="868"/>
    </row>
    <row r="35" spans="1:11" ht="20.25" customHeight="1">
      <c r="A35" s="887"/>
      <c r="B35" s="885" t="s">
        <v>1413</v>
      </c>
      <c r="C35" s="886">
        <v>5879</v>
      </c>
      <c r="D35" s="886">
        <v>54661</v>
      </c>
      <c r="E35" s="886"/>
      <c r="F35" s="886">
        <f>SUM('2. sz. mell '!E24)</f>
        <v>986</v>
      </c>
      <c r="G35" s="886">
        <f>SUM('2. sz. mell '!F24)</f>
        <v>3743</v>
      </c>
      <c r="H35" s="868"/>
      <c r="I35" s="868"/>
    </row>
    <row r="36" spans="1:11" ht="20.25" customHeight="1">
      <c r="A36" s="1145"/>
      <c r="B36" s="1146" t="s">
        <v>36</v>
      </c>
      <c r="C36" s="1143"/>
      <c r="D36" s="1143"/>
      <c r="E36" s="1143"/>
      <c r="F36" s="1143">
        <f>SUM('2. sz. mell '!E25)</f>
        <v>6872</v>
      </c>
      <c r="G36" s="1143">
        <f>SUM('2. sz. mell '!F25)</f>
        <v>6872</v>
      </c>
      <c r="H36" s="868"/>
      <c r="I36" s="868"/>
    </row>
    <row r="37" spans="1:11" ht="20.25" customHeight="1">
      <c r="A37" s="883" t="s">
        <v>48</v>
      </c>
      <c r="B37" s="884" t="s">
        <v>1414</v>
      </c>
      <c r="C37" s="886">
        <v>77673</v>
      </c>
      <c r="D37" s="886">
        <v>19568</v>
      </c>
      <c r="E37" s="881"/>
      <c r="F37" s="881"/>
      <c r="G37" s="881"/>
      <c r="H37" s="868"/>
      <c r="I37" s="868"/>
    </row>
    <row r="38" spans="1:11" ht="44.25" customHeight="1">
      <c r="A38" s="888" t="s">
        <v>178</v>
      </c>
      <c r="B38" s="889" t="s">
        <v>1415</v>
      </c>
      <c r="C38" s="1001">
        <v>192327</v>
      </c>
      <c r="D38" s="1002"/>
      <c r="E38" s="881"/>
      <c r="F38" s="1003"/>
      <c r="G38" s="1003"/>
      <c r="H38" s="868"/>
      <c r="I38" s="868"/>
    </row>
    <row r="39" spans="1:11" ht="33.75" customHeight="1">
      <c r="A39" s="888" t="s">
        <v>74</v>
      </c>
      <c r="B39" s="1150" t="s">
        <v>1823</v>
      </c>
      <c r="C39" s="1151"/>
      <c r="D39" s="1152"/>
      <c r="E39" s="881"/>
      <c r="F39" s="1153">
        <f>SUM('2. sz. mell '!E43)</f>
        <v>34548</v>
      </c>
      <c r="G39" s="1153">
        <f>SUM('2. sz. mell '!F43)</f>
        <v>34628</v>
      </c>
      <c r="H39" s="868"/>
      <c r="I39" s="868"/>
    </row>
    <row r="40" spans="1:11" ht="30" customHeight="1" thickBot="1">
      <c r="A40" s="888" t="s">
        <v>205</v>
      </c>
      <c r="B40" s="941" t="s">
        <v>1526</v>
      </c>
      <c r="C40" s="1004">
        <f t="shared" ref="C40:D40" si="6">SUM(C38+C37+C28+C20+C8+C5+C4)</f>
        <v>4700950</v>
      </c>
      <c r="D40" s="1005">
        <f t="shared" si="6"/>
        <v>4185608</v>
      </c>
      <c r="E40" s="1006">
        <f>SUM(E38+E37+E28+E20+E8+E5+E4)+E39</f>
        <v>2914996</v>
      </c>
      <c r="F40" s="1006">
        <f>SUM(F38+F37+F28+F20+F8+F5+F4)+F39</f>
        <v>3241625</v>
      </c>
      <c r="G40" s="1006">
        <f>SUM(G38+G37+G28+G20+G8+G5+G4)+G39</f>
        <v>3366755</v>
      </c>
      <c r="H40" s="868"/>
      <c r="I40" s="1231">
        <f>SUM('1.1.sz.mell  '!C16-'I. sz. mell.'!E40)</f>
        <v>0</v>
      </c>
      <c r="J40" s="1231">
        <f>SUM('1.1.sz.mell  '!D16-'I. sz. mell.'!F40)</f>
        <v>9471</v>
      </c>
      <c r="K40" s="1231">
        <f>SUM('1.1.sz.mell  '!E16-'I. sz. mell.'!G40)</f>
        <v>9471</v>
      </c>
    </row>
    <row r="41" spans="1:11" ht="20.25" customHeight="1" thickBot="1">
      <c r="A41" s="891" t="s">
        <v>1178</v>
      </c>
      <c r="B41" s="1798" t="s">
        <v>1416</v>
      </c>
      <c r="C41" s="1799"/>
      <c r="D41" s="870"/>
      <c r="E41" s="870"/>
      <c r="F41" s="870"/>
      <c r="G41" s="870"/>
      <c r="H41" s="868"/>
      <c r="I41" s="868"/>
    </row>
    <row r="42" spans="1:11" ht="20.25" customHeight="1">
      <c r="A42" s="892" t="s">
        <v>4</v>
      </c>
      <c r="B42" s="893" t="s">
        <v>1417</v>
      </c>
      <c r="C42" s="874">
        <f t="shared" ref="C42:D42" si="7">SUM(C43:C50)</f>
        <v>0</v>
      </c>
      <c r="D42" s="874">
        <f t="shared" si="7"/>
        <v>0</v>
      </c>
      <c r="E42" s="874">
        <f>SUM(E43:E50)</f>
        <v>157195</v>
      </c>
      <c r="F42" s="874">
        <f t="shared" ref="F42:G42" si="8">SUM(F43:F50)</f>
        <v>942</v>
      </c>
      <c r="G42" s="874">
        <f t="shared" si="8"/>
        <v>942</v>
      </c>
      <c r="H42" s="868"/>
      <c r="I42" s="868"/>
    </row>
    <row r="43" spans="1:11" ht="20.25" customHeight="1">
      <c r="A43" s="883"/>
      <c r="B43" s="880" t="s">
        <v>1396</v>
      </c>
      <c r="C43" s="886"/>
      <c r="D43" s="886"/>
      <c r="E43" s="886"/>
      <c r="F43" s="886"/>
      <c r="G43" s="886"/>
      <c r="H43" s="868"/>
      <c r="I43" s="868"/>
    </row>
    <row r="44" spans="1:11" ht="20.25" customHeight="1">
      <c r="A44" s="883"/>
      <c r="B44" s="880" t="s">
        <v>1397</v>
      </c>
      <c r="C44" s="886"/>
      <c r="D44" s="886"/>
      <c r="E44" s="886"/>
      <c r="F44" s="886"/>
      <c r="G44" s="886"/>
      <c r="H44" s="868"/>
      <c r="I44" s="868"/>
    </row>
    <row r="45" spans="1:11" ht="20.25" customHeight="1">
      <c r="A45" s="883"/>
      <c r="B45" s="880" t="s">
        <v>1398</v>
      </c>
      <c r="C45" s="886"/>
      <c r="D45" s="886"/>
      <c r="E45" s="886"/>
      <c r="F45" s="886"/>
      <c r="G45" s="886"/>
      <c r="H45" s="868"/>
      <c r="I45" s="868"/>
    </row>
    <row r="46" spans="1:11" ht="20.25" customHeight="1">
      <c r="A46" s="883"/>
      <c r="B46" s="880" t="s">
        <v>1399</v>
      </c>
      <c r="C46" s="886"/>
      <c r="D46" s="886"/>
      <c r="E46" s="886"/>
      <c r="F46" s="886"/>
      <c r="G46" s="886"/>
      <c r="H46" s="868"/>
      <c r="I46" s="868"/>
    </row>
    <row r="47" spans="1:11" ht="45" customHeight="1">
      <c r="A47" s="883"/>
      <c r="B47" s="882" t="s">
        <v>1400</v>
      </c>
      <c r="C47" s="894"/>
      <c r="D47" s="894"/>
      <c r="E47" s="894"/>
      <c r="F47" s="894"/>
      <c r="G47" s="894"/>
    </row>
    <row r="48" spans="1:11" ht="35.25" customHeight="1">
      <c r="A48" s="883"/>
      <c r="B48" s="882" t="s">
        <v>1401</v>
      </c>
      <c r="C48" s="894"/>
      <c r="D48" s="894"/>
      <c r="E48" s="894"/>
      <c r="F48" s="894"/>
      <c r="G48" s="894"/>
    </row>
    <row r="49" spans="1:11" ht="34.5" customHeight="1">
      <c r="A49" s="883"/>
      <c r="B49" s="882" t="s">
        <v>1402</v>
      </c>
      <c r="C49" s="894"/>
      <c r="D49" s="894"/>
      <c r="E49" s="894"/>
      <c r="F49" s="894"/>
      <c r="G49" s="894"/>
    </row>
    <row r="50" spans="1:11" ht="25.5" customHeight="1">
      <c r="A50" s="952"/>
      <c r="B50" s="953" t="s">
        <v>1527</v>
      </c>
      <c r="C50" s="954"/>
      <c r="D50" s="954"/>
      <c r="E50" s="954">
        <f>SUM('1.sz.mell.'!C44)</f>
        <v>157195</v>
      </c>
      <c r="F50" s="954">
        <f>SUM('1.sz.mell.'!D44)</f>
        <v>942</v>
      </c>
      <c r="G50" s="954">
        <f>SUM('1.sz.mell.'!E44)</f>
        <v>942</v>
      </c>
    </row>
    <row r="51" spans="1:11" ht="20.25" customHeight="1">
      <c r="A51" s="883" t="s">
        <v>5</v>
      </c>
      <c r="B51" s="895" t="s">
        <v>1418</v>
      </c>
      <c r="C51" s="881">
        <f t="shared" ref="C51:D51" si="9">SUM(C52:C55)</f>
        <v>734080</v>
      </c>
      <c r="D51" s="881">
        <f t="shared" si="9"/>
        <v>1273836</v>
      </c>
      <c r="E51" s="881">
        <f>SUM(E52:E53)</f>
        <v>200000</v>
      </c>
      <c r="F51" s="881">
        <f>SUM(F52:F53)</f>
        <v>9150</v>
      </c>
      <c r="G51" s="881">
        <f>SUM(G52:G53)</f>
        <v>55245</v>
      </c>
    </row>
    <row r="52" spans="1:11" ht="20.25" customHeight="1">
      <c r="A52" s="883"/>
      <c r="B52" s="882" t="s">
        <v>1419</v>
      </c>
      <c r="C52" s="894">
        <v>1447</v>
      </c>
      <c r="D52" s="894">
        <v>50725</v>
      </c>
      <c r="E52" s="894">
        <f>SUM('1.sz.mell.'!C52)</f>
        <v>200000</v>
      </c>
      <c r="F52" s="894">
        <f>SUM('1.sz.mell.'!D52)</f>
        <v>3014</v>
      </c>
      <c r="G52" s="894">
        <f>SUM('1.sz.mell.'!E52)</f>
        <v>3014</v>
      </c>
    </row>
    <row r="53" spans="1:11" ht="20.25" customHeight="1">
      <c r="A53" s="883"/>
      <c r="B53" s="882" t="s">
        <v>1420</v>
      </c>
      <c r="C53" s="894">
        <v>43058</v>
      </c>
      <c r="D53" s="894">
        <v>136</v>
      </c>
      <c r="E53" s="894"/>
      <c r="F53" s="894">
        <f>SUM('1.sz.mell.'!D54)</f>
        <v>6136</v>
      </c>
      <c r="G53" s="894">
        <f>SUM('1.sz.mell.'!E54)</f>
        <v>52231</v>
      </c>
    </row>
    <row r="54" spans="1:11" ht="20.25" customHeight="1">
      <c r="A54" s="883" t="s">
        <v>19</v>
      </c>
      <c r="B54" s="884" t="s">
        <v>1421</v>
      </c>
      <c r="C54" s="886">
        <v>357368</v>
      </c>
      <c r="D54" s="886">
        <v>394469</v>
      </c>
      <c r="E54" s="886">
        <f>SUM('1.sz.mell.'!C57)</f>
        <v>500</v>
      </c>
      <c r="F54" s="886">
        <f>SUM('1.sz.mell.'!D57)</f>
        <v>448926</v>
      </c>
      <c r="G54" s="886">
        <f>SUM('1.sz.mell.'!E57)</f>
        <v>453574</v>
      </c>
    </row>
    <row r="55" spans="1:11" ht="43.5" customHeight="1">
      <c r="A55" s="888" t="s">
        <v>149</v>
      </c>
      <c r="B55" s="889" t="s">
        <v>1415</v>
      </c>
      <c r="C55" s="999">
        <v>332207</v>
      </c>
      <c r="D55" s="890">
        <v>828506</v>
      </c>
      <c r="E55" s="890"/>
      <c r="F55" s="890"/>
      <c r="G55" s="890"/>
    </row>
    <row r="56" spans="1:11" ht="22.5" customHeight="1">
      <c r="A56" s="888" t="s">
        <v>38</v>
      </c>
      <c r="B56" s="955" t="s">
        <v>169</v>
      </c>
      <c r="C56" s="1007"/>
      <c r="D56" s="956"/>
      <c r="E56" s="957">
        <f>SUM('1.sz.mell.'!C58)</f>
        <v>500</v>
      </c>
      <c r="F56" s="957">
        <f>SUM('1.sz.mell.'!D58)</f>
        <v>509</v>
      </c>
      <c r="G56" s="957">
        <f>SUM('1.sz.mell.'!E58)</f>
        <v>3310</v>
      </c>
    </row>
    <row r="57" spans="1:11" ht="37.5" customHeight="1" thickBot="1">
      <c r="A57" s="940"/>
      <c r="B57" s="941" t="s">
        <v>1452</v>
      </c>
      <c r="C57" s="1026">
        <f t="shared" ref="C57:D57" si="10">SUM(C51+C42)</f>
        <v>734080</v>
      </c>
      <c r="D57" s="942">
        <f t="shared" si="10"/>
        <v>1273836</v>
      </c>
      <c r="E57" s="942">
        <f>SUM(E51+E42)+E56+E54</f>
        <v>358195</v>
      </c>
      <c r="F57" s="942">
        <f t="shared" ref="F57:G57" si="11">SUM(F51+F42)+F56+F54</f>
        <v>459527</v>
      </c>
      <c r="G57" s="942">
        <f t="shared" si="11"/>
        <v>513071</v>
      </c>
      <c r="I57" s="947">
        <f>SUM('1.2.sz.mell  '!C16-'I. sz. mell.'!E57)</f>
        <v>0</v>
      </c>
      <c r="J57" s="947">
        <f>SUM('1.2.sz.mell  '!D16-'I. sz. mell.'!F57)</f>
        <v>0</v>
      </c>
      <c r="K57" s="947">
        <f>SUM('1.2.sz.mell  '!E16-'I. sz. mell.'!G57)</f>
        <v>0</v>
      </c>
    </row>
    <row r="58" spans="1:11" ht="23.25" customHeight="1" thickBot="1">
      <c r="A58" s="891" t="s">
        <v>1179</v>
      </c>
      <c r="B58" s="1798" t="s">
        <v>1422</v>
      </c>
      <c r="C58" s="1799"/>
      <c r="D58" s="870"/>
      <c r="E58" s="870"/>
      <c r="F58" s="870"/>
      <c r="G58" s="870"/>
    </row>
    <row r="59" spans="1:11" ht="40.5" customHeight="1">
      <c r="A59" s="871" t="s">
        <v>4</v>
      </c>
      <c r="B59" s="896" t="s">
        <v>1423</v>
      </c>
      <c r="C59" s="873"/>
      <c r="D59" s="874"/>
      <c r="E59" s="874"/>
      <c r="F59" s="1097"/>
      <c r="G59" s="874"/>
    </row>
    <row r="60" spans="1:11" ht="20.25" customHeight="1">
      <c r="A60" s="879" t="s">
        <v>5</v>
      </c>
      <c r="B60" s="882" t="s">
        <v>1424</v>
      </c>
      <c r="C60" s="886"/>
      <c r="D60" s="886"/>
      <c r="E60" s="886"/>
      <c r="F60" s="1096"/>
      <c r="G60" s="886"/>
    </row>
    <row r="61" spans="1:11" ht="20.25" customHeight="1">
      <c r="A61" s="879" t="s">
        <v>19</v>
      </c>
      <c r="B61" s="882" t="s">
        <v>1425</v>
      </c>
      <c r="C61" s="886">
        <v>424262</v>
      </c>
      <c r="D61" s="886">
        <v>746818</v>
      </c>
      <c r="E61" s="886"/>
      <c r="F61" s="886">
        <f>SUM('1.1.sz.mell  '!D20)</f>
        <v>198462</v>
      </c>
      <c r="G61" s="886">
        <f>SUM('1.1.sz.mell  '!E20)</f>
        <v>2104786</v>
      </c>
    </row>
    <row r="62" spans="1:11" ht="20.25" customHeight="1">
      <c r="A62" s="879" t="s">
        <v>149</v>
      </c>
      <c r="B62" s="882" t="s">
        <v>1426</v>
      </c>
      <c r="C62" s="886"/>
      <c r="D62" s="886"/>
      <c r="E62" s="886"/>
      <c r="F62" s="1096"/>
      <c r="G62" s="886"/>
    </row>
    <row r="63" spans="1:11" ht="20.25" customHeight="1">
      <c r="A63" s="879" t="s">
        <v>38</v>
      </c>
      <c r="B63" s="897" t="s">
        <v>1427</v>
      </c>
      <c r="C63" s="886"/>
      <c r="D63" s="886"/>
      <c r="E63" s="886"/>
      <c r="F63" s="1096"/>
      <c r="G63" s="886"/>
    </row>
    <row r="64" spans="1:11" ht="20.25" customHeight="1">
      <c r="A64" s="879" t="s">
        <v>48</v>
      </c>
      <c r="B64" s="897" t="s">
        <v>1428</v>
      </c>
      <c r="C64" s="886"/>
      <c r="D64" s="886"/>
      <c r="E64" s="886"/>
      <c r="F64" s="886">
        <f>SUM('1.1.sz.mell  '!D17)</f>
        <v>242166</v>
      </c>
      <c r="G64" s="886">
        <f>SUM('1.1.sz.mell  '!E17)</f>
        <v>242166</v>
      </c>
    </row>
    <row r="65" spans="1:11" ht="39" customHeight="1">
      <c r="A65" s="898" t="s">
        <v>178</v>
      </c>
      <c r="B65" s="899" t="s">
        <v>1429</v>
      </c>
      <c r="C65" s="999"/>
      <c r="D65" s="999"/>
      <c r="E65" s="999"/>
      <c r="F65" s="1098"/>
      <c r="G65" s="999"/>
    </row>
    <row r="66" spans="1:11" ht="20.25" customHeight="1" thickBot="1">
      <c r="A66" s="939"/>
      <c r="B66" s="941" t="s">
        <v>1451</v>
      </c>
      <c r="C66" s="1025">
        <f t="shared" ref="C66:D66" si="12">SUM(C59:C65)</f>
        <v>424262</v>
      </c>
      <c r="D66" s="1025">
        <f t="shared" si="12"/>
        <v>746818</v>
      </c>
      <c r="E66" s="1000">
        <f>SUM(E59:E65)</f>
        <v>0</v>
      </c>
      <c r="F66" s="1000">
        <f t="shared" ref="F66:G66" si="13">SUM(F59:F65)</f>
        <v>440628</v>
      </c>
      <c r="G66" s="1000">
        <f t="shared" si="13"/>
        <v>2346952</v>
      </c>
      <c r="I66" s="947">
        <f>SUM('1.1.sz.mell  '!C26-'I. sz. mell.'!E66)</f>
        <v>0</v>
      </c>
      <c r="J66" s="947">
        <f>SUM('1.1.sz.mell  '!D26-'I. sz. mell.'!F66)</f>
        <v>0</v>
      </c>
      <c r="K66" s="947">
        <f>SUM('1.1.sz.mell  '!E26-'I. sz. mell.'!G66)</f>
        <v>0</v>
      </c>
    </row>
    <row r="67" spans="1:11" ht="20.25" customHeight="1" thickBot="1">
      <c r="A67" s="891" t="s">
        <v>1180</v>
      </c>
      <c r="B67" s="1798" t="s">
        <v>1430</v>
      </c>
      <c r="C67" s="1799"/>
      <c r="D67" s="870"/>
      <c r="E67" s="870"/>
      <c r="F67" s="870"/>
      <c r="G67" s="870"/>
    </row>
    <row r="68" spans="1:11" ht="28.5" customHeight="1">
      <c r="A68" s="871" t="s">
        <v>4</v>
      </c>
      <c r="B68" s="896" t="s">
        <v>1431</v>
      </c>
      <c r="C68" s="873"/>
      <c r="D68" s="874"/>
      <c r="E68" s="874"/>
      <c r="F68" s="1097"/>
      <c r="G68" s="874"/>
    </row>
    <row r="69" spans="1:11" ht="20.25" customHeight="1">
      <c r="A69" s="879" t="s">
        <v>5</v>
      </c>
      <c r="B69" s="882" t="s">
        <v>1424</v>
      </c>
      <c r="C69" s="886">
        <v>477404</v>
      </c>
      <c r="D69" s="886">
        <v>222596</v>
      </c>
      <c r="E69" s="886"/>
      <c r="F69" s="1096"/>
      <c r="G69" s="886"/>
    </row>
    <row r="70" spans="1:11" ht="20.25" customHeight="1">
      <c r="A70" s="879" t="s">
        <v>19</v>
      </c>
      <c r="B70" s="882" t="s">
        <v>1425</v>
      </c>
      <c r="C70" s="886"/>
      <c r="D70" s="886"/>
      <c r="E70" s="886"/>
      <c r="F70" s="1096"/>
      <c r="G70" s="886"/>
    </row>
    <row r="71" spans="1:11" ht="20.25" customHeight="1">
      <c r="A71" s="879" t="s">
        <v>149</v>
      </c>
      <c r="B71" s="882" t="s">
        <v>1426</v>
      </c>
      <c r="C71" s="886"/>
      <c r="D71" s="886"/>
      <c r="E71" s="886"/>
      <c r="F71" s="1096"/>
      <c r="G71" s="886"/>
    </row>
    <row r="72" spans="1:11" ht="20.25" customHeight="1">
      <c r="A72" s="879" t="s">
        <v>38</v>
      </c>
      <c r="B72" s="897" t="s">
        <v>1427</v>
      </c>
      <c r="C72" s="886"/>
      <c r="D72" s="886"/>
      <c r="E72" s="886"/>
      <c r="F72" s="1096"/>
      <c r="G72" s="886"/>
    </row>
    <row r="73" spans="1:11" ht="20.25" customHeight="1">
      <c r="A73" s="879" t="s">
        <v>48</v>
      </c>
      <c r="B73" s="897" t="s">
        <v>1428</v>
      </c>
      <c r="C73" s="886"/>
      <c r="D73" s="886"/>
      <c r="E73" s="886"/>
      <c r="F73" s="886">
        <f>SUM('1.2.sz.mell  '!D17)</f>
        <v>407700</v>
      </c>
      <c r="G73" s="886">
        <f>SUM('1.2.sz.mell  '!E17)</f>
        <v>407700</v>
      </c>
    </row>
    <row r="74" spans="1:11" ht="30.75" customHeight="1">
      <c r="A74" s="898" t="s">
        <v>178</v>
      </c>
      <c r="B74" s="899" t="s">
        <v>1429</v>
      </c>
      <c r="C74" s="999"/>
      <c r="D74" s="890"/>
      <c r="E74" s="890"/>
      <c r="F74" s="1098"/>
      <c r="G74" s="890"/>
    </row>
    <row r="75" spans="1:11" ht="38.25" customHeight="1" thickBot="1">
      <c r="A75" s="898" t="s">
        <v>74</v>
      </c>
      <c r="B75" s="941" t="s">
        <v>1450</v>
      </c>
      <c r="C75" s="1009">
        <f t="shared" ref="C75:D75" si="14">SUM(C68:C74)</f>
        <v>477404</v>
      </c>
      <c r="D75" s="913">
        <f t="shared" si="14"/>
        <v>222596</v>
      </c>
      <c r="E75" s="1009">
        <f>SUM(E68:E74)</f>
        <v>0</v>
      </c>
      <c r="F75" s="913">
        <f t="shared" ref="F75:G75" si="15">SUM(F68:F74)</f>
        <v>407700</v>
      </c>
      <c r="G75" s="913">
        <f t="shared" si="15"/>
        <v>407700</v>
      </c>
      <c r="I75" s="947">
        <f>SUM('1.2.sz.mell  '!C26-'I. sz. mell.'!E75)</f>
        <v>0</v>
      </c>
      <c r="J75" s="947">
        <f>SUM('1.2.sz.mell  '!D26-'I. sz. mell.'!F75)</f>
        <v>0</v>
      </c>
      <c r="K75" s="947">
        <f>SUM('1.2.sz.mell  '!E26-'I. sz. mell.'!G75)</f>
        <v>0</v>
      </c>
    </row>
    <row r="76" spans="1:11" ht="38.25" customHeight="1" thickBot="1">
      <c r="A76" s="891" t="s">
        <v>1819</v>
      </c>
      <c r="B76" s="1147" t="s">
        <v>1822</v>
      </c>
      <c r="C76" s="1148"/>
      <c r="D76" s="1140"/>
      <c r="E76" s="1149"/>
      <c r="F76" s="870"/>
      <c r="G76" s="1232">
        <f>SUM('1.sz.mell.'!E79)</f>
        <v>-4003</v>
      </c>
    </row>
    <row r="77" spans="1:11" ht="30.75" customHeight="1" thickBot="1">
      <c r="A77" s="900"/>
      <c r="B77" s="901" t="s">
        <v>1432</v>
      </c>
      <c r="C77" s="1008">
        <f t="shared" ref="C77:D77" si="16">SUM(C75+C66+C57+C38+C37+C28+C8)+C5+C4+C20</f>
        <v>6336696</v>
      </c>
      <c r="D77" s="948">
        <f t="shared" si="16"/>
        <v>6428858</v>
      </c>
      <c r="E77" s="948">
        <f>SUM(E75+E66+E57+E38+E37+E28+E8)+E5+E4+E20</f>
        <v>3273191</v>
      </c>
      <c r="F77" s="948">
        <f>SUM(F75+F66+F57+F38+F37+F28+F8)+F5+F4+F20+F39+F76+F6</f>
        <v>4558951</v>
      </c>
      <c r="G77" s="948">
        <f>SUM(G75+G66+G57+G38+G37+G28+G8)+G5+G4+G20+G39+G76+G6</f>
        <v>6639946</v>
      </c>
      <c r="I77" s="947">
        <f>SUM('1.1.sz.mell  '!C27+'1.2.sz.mell  '!C28-'I. sz. mell.'!E77)</f>
        <v>0</v>
      </c>
      <c r="J77" s="947">
        <f>SUM('1.1.sz.mell  '!D27+'1.2.sz.mell  '!D28-'I. sz. mell.'!F77)</f>
        <v>0</v>
      </c>
      <c r="K77" s="947">
        <f>SUM('1.1.sz.mell  '!E27+'1.2.sz.mell  '!E28-'I. sz. mell.'!G77)</f>
        <v>0</v>
      </c>
    </row>
    <row r="78" spans="1:11" ht="30" customHeight="1" thickBot="1">
      <c r="A78" s="865"/>
      <c r="B78" s="866" t="s">
        <v>1433</v>
      </c>
      <c r="C78" s="867"/>
      <c r="D78" s="867"/>
      <c r="E78" s="867"/>
      <c r="F78" s="867"/>
      <c r="G78" s="867"/>
    </row>
    <row r="79" spans="1:11" ht="20.25" customHeight="1" thickBot="1">
      <c r="A79" s="902" t="s">
        <v>927</v>
      </c>
      <c r="B79" s="1793" t="s">
        <v>1434</v>
      </c>
      <c r="C79" s="1794"/>
      <c r="D79" s="1794"/>
      <c r="E79" s="1794"/>
      <c r="F79" s="1090"/>
      <c r="G79" s="1090"/>
    </row>
    <row r="80" spans="1:11" ht="20.25" customHeight="1" thickBot="1">
      <c r="A80" s="1789" t="s">
        <v>1394</v>
      </c>
      <c r="B80" s="1790"/>
      <c r="C80" s="1790"/>
      <c r="D80" s="903"/>
      <c r="E80" s="904"/>
      <c r="F80" s="1092"/>
      <c r="G80" s="1092"/>
    </row>
    <row r="81" spans="1:11" ht="20.25" customHeight="1">
      <c r="A81" s="871" t="s">
        <v>4</v>
      </c>
      <c r="B81" s="872" t="s">
        <v>199</v>
      </c>
      <c r="C81" s="905">
        <v>1456534</v>
      </c>
      <c r="D81" s="905">
        <v>1452094</v>
      </c>
      <c r="E81" s="906">
        <f>SUM('1.sz.mell.'!C83)</f>
        <v>904670</v>
      </c>
      <c r="F81" s="906">
        <f>SUM('1.sz.mell.'!D83)</f>
        <v>1025986</v>
      </c>
      <c r="G81" s="906">
        <f>SUM('1.sz.mell.'!E83)</f>
        <v>995355</v>
      </c>
    </row>
    <row r="82" spans="1:11" ht="27.75" customHeight="1">
      <c r="A82" s="879" t="s">
        <v>5</v>
      </c>
      <c r="B82" s="907" t="s">
        <v>105</v>
      </c>
      <c r="C82" s="908">
        <v>374500</v>
      </c>
      <c r="D82" s="908">
        <v>376128</v>
      </c>
      <c r="E82" s="906">
        <f>SUM('1.sz.mell.'!C84)</f>
        <v>250657</v>
      </c>
      <c r="F82" s="906">
        <f>SUM('1.sz.mell.'!D84)</f>
        <v>252063</v>
      </c>
      <c r="G82" s="906">
        <f>SUM('1.sz.mell.'!E84)</f>
        <v>244906</v>
      </c>
    </row>
    <row r="83" spans="1:11" ht="20.25" customHeight="1">
      <c r="A83" s="879" t="s">
        <v>19</v>
      </c>
      <c r="B83" s="907" t="s">
        <v>201</v>
      </c>
      <c r="C83" s="908">
        <v>1665569</v>
      </c>
      <c r="D83" s="908">
        <v>1683456</v>
      </c>
      <c r="E83" s="906">
        <f>SUM('1.sz.mell.'!C85)</f>
        <v>1364695</v>
      </c>
      <c r="F83" s="906">
        <f>SUM('1.sz.mell.'!D85)</f>
        <v>1602368</v>
      </c>
      <c r="G83" s="906">
        <f>SUM('1.sz.mell.'!E85)</f>
        <v>1478797</v>
      </c>
    </row>
    <row r="84" spans="1:11" ht="20.25" customHeight="1">
      <c r="A84" s="879" t="s">
        <v>149</v>
      </c>
      <c r="B84" s="907" t="s">
        <v>109</v>
      </c>
      <c r="C84" s="908">
        <v>141584</v>
      </c>
      <c r="D84" s="908">
        <v>146738</v>
      </c>
      <c r="E84" s="906">
        <f>SUM('1.sz.mell.'!C86)</f>
        <v>40000</v>
      </c>
      <c r="F84" s="906">
        <f>SUM('1.sz.mell.'!D86)</f>
        <v>96585</v>
      </c>
      <c r="G84" s="906">
        <f>SUM('1.sz.mell.'!E86)</f>
        <v>94580</v>
      </c>
    </row>
    <row r="85" spans="1:11" ht="20.25" customHeight="1">
      <c r="A85" s="879" t="s">
        <v>38</v>
      </c>
      <c r="B85" s="907" t="s">
        <v>111</v>
      </c>
      <c r="C85" s="908">
        <v>230677</v>
      </c>
      <c r="D85" s="908">
        <v>150543</v>
      </c>
      <c r="E85" s="906">
        <f>SUM('1.sz.mell.'!C87)</f>
        <v>143632</v>
      </c>
      <c r="F85" s="906">
        <f>SUM('1.sz.mell.'!D87)</f>
        <v>324378</v>
      </c>
      <c r="G85" s="906">
        <f>SUM('1.sz.mell.'!E87)</f>
        <v>269677</v>
      </c>
    </row>
    <row r="86" spans="1:11" ht="20.25" customHeight="1">
      <c r="A86" s="879" t="s">
        <v>178</v>
      </c>
      <c r="B86" s="907" t="s">
        <v>152</v>
      </c>
      <c r="C86" s="910">
        <v>0</v>
      </c>
      <c r="D86" s="910">
        <v>0</v>
      </c>
      <c r="E86" s="906">
        <f>SUM('1.sz.mell.'!C113)</f>
        <v>20000</v>
      </c>
      <c r="F86" s="906">
        <f>SUM('1.sz.mell.'!D113)</f>
        <v>692</v>
      </c>
      <c r="G86" s="906">
        <f>SUM('1.sz.mell.'!E113)</f>
        <v>0</v>
      </c>
    </row>
    <row r="87" spans="1:11" ht="20.25" customHeight="1">
      <c r="A87" s="879" t="s">
        <v>74</v>
      </c>
      <c r="B87" s="907" t="s">
        <v>1435</v>
      </c>
      <c r="C87" s="912">
        <v>0</v>
      </c>
      <c r="D87" s="908">
        <v>0</v>
      </c>
      <c r="E87" s="906">
        <f>SUM('1.sz.mell.'!C114)</f>
        <v>143605</v>
      </c>
      <c r="F87" s="906">
        <f>SUM('1.sz.mell.'!D114)</f>
        <v>83054</v>
      </c>
      <c r="G87" s="906">
        <f>SUM('1.sz.mell.'!E114)</f>
        <v>0</v>
      </c>
    </row>
    <row r="88" spans="1:11" ht="20.25" customHeight="1" thickBot="1">
      <c r="A88" s="879"/>
      <c r="B88" s="941" t="s">
        <v>1209</v>
      </c>
      <c r="C88" s="1024">
        <f t="shared" ref="C88:D88" si="17">SUM(C81:C87)</f>
        <v>3868864</v>
      </c>
      <c r="D88" s="1024">
        <f t="shared" si="17"/>
        <v>3808959</v>
      </c>
      <c r="E88" s="1023">
        <f>SUM(E81:E87)</f>
        <v>2867259</v>
      </c>
      <c r="F88" s="1023">
        <f t="shared" ref="F88:G88" si="18">SUM(F81:F87)</f>
        <v>3385126</v>
      </c>
      <c r="G88" s="1023">
        <f t="shared" si="18"/>
        <v>3083315</v>
      </c>
      <c r="I88" s="947">
        <f>SUM('1.1.sz.mell  '!G16-'I. sz. mell.'!E88)</f>
        <v>0</v>
      </c>
      <c r="J88" s="947">
        <f>SUM('1.1.sz.mell  '!H16-'I. sz. mell.'!F88)</f>
        <v>0</v>
      </c>
      <c r="K88" s="947">
        <f>SUM('1.1.sz.mell  '!I16-'I. sz. mell.'!G88)</f>
        <v>0</v>
      </c>
    </row>
    <row r="89" spans="1:11" ht="15" hidden="1" customHeight="1">
      <c r="A89" s="914"/>
      <c r="B89" s="885"/>
      <c r="C89" s="915"/>
      <c r="D89" s="915"/>
      <c r="E89" s="916"/>
      <c r="F89" s="1093"/>
      <c r="G89" s="1093"/>
    </row>
    <row r="90" spans="1:11" ht="15" hidden="1" customHeight="1">
      <c r="A90" s="914"/>
      <c r="B90" s="885"/>
      <c r="C90" s="915"/>
      <c r="D90" s="915"/>
      <c r="E90" s="916"/>
      <c r="F90" s="1093"/>
      <c r="G90" s="1093"/>
    </row>
    <row r="91" spans="1:11" ht="15" hidden="1" customHeight="1">
      <c r="A91" s="914"/>
      <c r="B91" s="885"/>
      <c r="C91" s="915"/>
      <c r="D91" s="915"/>
      <c r="E91" s="916"/>
      <c r="F91" s="1093"/>
      <c r="G91" s="1093"/>
    </row>
    <row r="92" spans="1:11" ht="15" hidden="1" customHeight="1">
      <c r="A92" s="914"/>
      <c r="B92" s="885"/>
      <c r="C92" s="915"/>
      <c r="D92" s="915"/>
      <c r="E92" s="916"/>
      <c r="F92" s="1093"/>
      <c r="G92" s="1093"/>
    </row>
    <row r="93" spans="1:11" ht="15" hidden="1" customHeight="1">
      <c r="A93" s="914"/>
      <c r="B93" s="885"/>
      <c r="C93" s="915"/>
      <c r="D93" s="915"/>
      <c r="E93" s="916"/>
      <c r="F93" s="1093"/>
      <c r="G93" s="1093"/>
    </row>
    <row r="94" spans="1:11" ht="15" hidden="1" customHeight="1">
      <c r="A94" s="914"/>
      <c r="B94" s="885"/>
      <c r="C94" s="915"/>
      <c r="D94" s="915"/>
      <c r="E94" s="916"/>
      <c r="F94" s="1093"/>
      <c r="G94" s="1093"/>
    </row>
    <row r="95" spans="1:11" ht="15" hidden="1" customHeight="1">
      <c r="A95" s="914"/>
      <c r="B95" s="885"/>
      <c r="C95" s="915"/>
      <c r="D95" s="915"/>
      <c r="E95" s="916"/>
      <c r="F95" s="1093"/>
      <c r="G95" s="1093"/>
    </row>
    <row r="96" spans="1:11" ht="15" hidden="1" customHeight="1">
      <c r="A96" s="914"/>
      <c r="B96" s="885"/>
      <c r="C96" s="915"/>
      <c r="D96" s="915"/>
      <c r="E96" s="916"/>
      <c r="F96" s="1093"/>
      <c r="G96" s="1093"/>
    </row>
    <row r="97" spans="1:7" ht="15" hidden="1" customHeight="1">
      <c r="A97" s="914"/>
      <c r="B97" s="885"/>
      <c r="C97" s="915"/>
      <c r="D97" s="915"/>
      <c r="E97" s="916"/>
      <c r="F97" s="1093"/>
      <c r="G97" s="1093"/>
    </row>
    <row r="98" spans="1:7" ht="15" hidden="1" customHeight="1">
      <c r="A98" s="914"/>
      <c r="B98" s="885"/>
      <c r="C98" s="915"/>
      <c r="D98" s="915"/>
      <c r="E98" s="916"/>
      <c r="F98" s="1093"/>
      <c r="G98" s="1093"/>
    </row>
    <row r="99" spans="1:7" ht="15" hidden="1" customHeight="1">
      <c r="A99" s="914"/>
      <c r="B99" s="885"/>
      <c r="C99" s="915"/>
      <c r="D99" s="915"/>
      <c r="E99" s="916"/>
      <c r="F99" s="1093"/>
      <c r="G99" s="1093"/>
    </row>
    <row r="100" spans="1:7" ht="15" hidden="1" customHeight="1">
      <c r="A100" s="914"/>
      <c r="B100" s="885"/>
      <c r="C100" s="915"/>
      <c r="D100" s="915"/>
      <c r="E100" s="916"/>
      <c r="F100" s="1093"/>
      <c r="G100" s="1093"/>
    </row>
    <row r="101" spans="1:7" ht="15" hidden="1" customHeight="1">
      <c r="A101" s="914"/>
      <c r="B101" s="885"/>
      <c r="C101" s="915"/>
      <c r="D101" s="915"/>
      <c r="E101" s="916"/>
      <c r="F101" s="1093"/>
      <c r="G101" s="1093"/>
    </row>
    <row r="102" spans="1:7" ht="15" hidden="1" customHeight="1">
      <c r="A102" s="914"/>
      <c r="B102" s="885"/>
      <c r="C102" s="915"/>
      <c r="D102" s="915"/>
      <c r="E102" s="916"/>
      <c r="F102" s="1093"/>
      <c r="G102" s="1093"/>
    </row>
    <row r="103" spans="1:7" ht="15" hidden="1" customHeight="1">
      <c r="A103" s="914"/>
      <c r="B103" s="885"/>
      <c r="C103" s="915"/>
      <c r="D103" s="915"/>
      <c r="E103" s="916"/>
      <c r="F103" s="1093"/>
      <c r="G103" s="1093"/>
    </row>
    <row r="104" spans="1:7" ht="15" hidden="1" customHeight="1">
      <c r="A104" s="914"/>
      <c r="B104" s="885"/>
      <c r="C104" s="915"/>
      <c r="D104" s="915"/>
      <c r="E104" s="916"/>
      <c r="F104" s="1093"/>
      <c r="G104" s="1093"/>
    </row>
    <row r="105" spans="1:7" ht="15" hidden="1" customHeight="1">
      <c r="A105" s="914"/>
      <c r="B105" s="885"/>
      <c r="C105" s="915"/>
      <c r="D105" s="915"/>
      <c r="E105" s="916"/>
      <c r="F105" s="1093"/>
      <c r="G105" s="1093"/>
    </row>
    <row r="106" spans="1:7" ht="15.75" hidden="1" customHeight="1" thickBot="1">
      <c r="A106" s="917"/>
      <c r="B106" s="918"/>
      <c r="C106" s="915"/>
      <c r="D106" s="915"/>
      <c r="E106" s="916"/>
      <c r="F106" s="1093"/>
      <c r="G106" s="1093"/>
    </row>
    <row r="107" spans="1:7" ht="20.25" customHeight="1" thickBot="1">
      <c r="A107" s="919" t="s">
        <v>1178</v>
      </c>
      <c r="B107" s="1791" t="s">
        <v>1436</v>
      </c>
      <c r="C107" s="1792"/>
      <c r="D107" s="1792"/>
      <c r="E107" s="1792"/>
      <c r="F107" s="1090"/>
      <c r="G107" s="1090"/>
    </row>
    <row r="108" spans="1:7" ht="20.25" customHeight="1">
      <c r="A108" s="892" t="s">
        <v>4</v>
      </c>
      <c r="B108" s="920" t="s">
        <v>1437</v>
      </c>
      <c r="C108" s="921">
        <v>937920</v>
      </c>
      <c r="D108" s="922">
        <v>1103935</v>
      </c>
      <c r="E108" s="1010">
        <f>SUM('1.sz.mell.'!C100)</f>
        <v>116000</v>
      </c>
      <c r="F108" s="1010">
        <f>SUM('1.sz.mell.'!D100)</f>
        <v>765380</v>
      </c>
      <c r="G108" s="1010">
        <f>SUM('1.sz.mell.'!E100)</f>
        <v>545922</v>
      </c>
    </row>
    <row r="109" spans="1:7" ht="20.25" customHeight="1">
      <c r="A109" s="883" t="s">
        <v>5</v>
      </c>
      <c r="B109" s="885" t="s">
        <v>134</v>
      </c>
      <c r="C109" s="910">
        <v>12114</v>
      </c>
      <c r="D109" s="908">
        <v>25014</v>
      </c>
      <c r="E109" s="1012">
        <f>SUM('1.sz.mell.'!C101)</f>
        <v>25000</v>
      </c>
      <c r="F109" s="1012">
        <f>SUM('1.sz.mell.'!D101)</f>
        <v>30264</v>
      </c>
      <c r="G109" s="1012">
        <f>SUM('1.sz.mell.'!E101)</f>
        <v>29711</v>
      </c>
    </row>
    <row r="110" spans="1:7" ht="20.25" customHeight="1">
      <c r="A110" s="883" t="s">
        <v>19</v>
      </c>
      <c r="B110" s="885" t="s">
        <v>1438</v>
      </c>
      <c r="C110" s="910">
        <v>130263</v>
      </c>
      <c r="D110" s="908">
        <v>30129</v>
      </c>
      <c r="E110" s="1011">
        <f>SUM('1.sz.mell.'!C106)</f>
        <v>105932</v>
      </c>
      <c r="F110" s="1011">
        <f>SUM('1.sz.mell.'!D106)</f>
        <v>55917</v>
      </c>
      <c r="G110" s="1011">
        <f>SUM('1.sz.mell.'!E106)</f>
        <v>26523</v>
      </c>
    </row>
    <row r="111" spans="1:7" ht="20.25" customHeight="1">
      <c r="A111" s="883" t="s">
        <v>149</v>
      </c>
      <c r="B111" s="882" t="s">
        <v>152</v>
      </c>
      <c r="C111" s="910">
        <v>0</v>
      </c>
      <c r="D111" s="908"/>
      <c r="E111" s="909"/>
      <c r="F111" s="909"/>
      <c r="G111" s="909"/>
    </row>
    <row r="112" spans="1:7" ht="20.25" customHeight="1">
      <c r="A112" s="883" t="s">
        <v>38</v>
      </c>
      <c r="B112" s="882" t="s">
        <v>1435</v>
      </c>
      <c r="C112" s="910">
        <v>0</v>
      </c>
      <c r="D112" s="908"/>
      <c r="E112" s="909">
        <f>SUM('1.sz.mell.'!C115)</f>
        <v>95000</v>
      </c>
      <c r="F112" s="909">
        <f>SUM('1.sz.mell.'!D115)</f>
        <v>249413</v>
      </c>
      <c r="G112" s="909">
        <f>SUM('1.sz.mell.'!E115)</f>
        <v>0</v>
      </c>
    </row>
    <row r="113" spans="1:11" ht="20.25" customHeight="1">
      <c r="A113" s="883" t="s">
        <v>48</v>
      </c>
      <c r="B113" s="1135" t="s">
        <v>1818</v>
      </c>
      <c r="C113" s="1136"/>
      <c r="D113" s="1137"/>
      <c r="E113" s="1138"/>
      <c r="F113" s="1138">
        <f>SUM('1.2.sz.mell  '!H14)</f>
        <v>8003</v>
      </c>
      <c r="G113" s="1138">
        <f>SUM('1.2.sz.mell  '!I14)</f>
        <v>550</v>
      </c>
    </row>
    <row r="114" spans="1:11" ht="20.25" customHeight="1" thickBot="1">
      <c r="A114" s="923"/>
      <c r="B114" s="941" t="s">
        <v>1682</v>
      </c>
      <c r="C114" s="1024">
        <f>SUM(C108:C112)</f>
        <v>1080297</v>
      </c>
      <c r="D114" s="1024">
        <f>SUM(D108:D112)</f>
        <v>1159078</v>
      </c>
      <c r="E114" s="1023">
        <f>SUM(E108:E113)</f>
        <v>341932</v>
      </c>
      <c r="F114" s="1023">
        <f>SUM(F108:F113)</f>
        <v>1108977</v>
      </c>
      <c r="G114" s="1023">
        <f>SUM(G108:G113)</f>
        <v>602706</v>
      </c>
      <c r="I114" s="947">
        <f>SUM('1.2.sz.mell  '!G16-'I. sz. mell.'!E114)</f>
        <v>0</v>
      </c>
      <c r="J114" s="947">
        <f>SUM('1.2.sz.mell  '!H16-'I. sz. mell.'!F114)</f>
        <v>0</v>
      </c>
      <c r="K114" s="947">
        <f>SUM('1.2.sz.mell  '!I16-'I. sz. mell.'!G114)</f>
        <v>0</v>
      </c>
    </row>
    <row r="115" spans="1:11" hidden="1">
      <c r="A115" s="923"/>
      <c r="B115" s="924"/>
      <c r="C115" s="925"/>
      <c r="D115" s="925"/>
      <c r="E115" s="926"/>
      <c r="F115" s="1094"/>
      <c r="G115" s="1094"/>
    </row>
    <row r="116" spans="1:11" hidden="1">
      <c r="A116" s="923"/>
      <c r="B116" s="924"/>
      <c r="C116" s="925"/>
      <c r="D116" s="925"/>
      <c r="E116" s="926"/>
      <c r="F116" s="1094"/>
      <c r="G116" s="1094"/>
    </row>
    <row r="117" spans="1:11" hidden="1">
      <c r="A117" s="923"/>
      <c r="B117" s="924"/>
      <c r="C117" s="925"/>
      <c r="D117" s="925"/>
      <c r="E117" s="926"/>
      <c r="F117" s="1094"/>
      <c r="G117" s="1094"/>
    </row>
    <row r="118" spans="1:11" hidden="1">
      <c r="A118" s="923"/>
      <c r="B118" s="924"/>
      <c r="C118" s="925"/>
      <c r="D118" s="925"/>
      <c r="E118" s="926"/>
      <c r="F118" s="1094"/>
      <c r="G118" s="1094"/>
    </row>
    <row r="119" spans="1:11" hidden="1">
      <c r="A119" s="923"/>
      <c r="B119" s="924"/>
      <c r="C119" s="925"/>
      <c r="D119" s="925"/>
      <c r="E119" s="926"/>
      <c r="F119" s="1094"/>
      <c r="G119" s="1094"/>
    </row>
    <row r="120" spans="1:11" hidden="1">
      <c r="A120" s="923"/>
      <c r="B120" s="924"/>
      <c r="C120" s="925"/>
      <c r="D120" s="925"/>
      <c r="E120" s="926"/>
      <c r="F120" s="1094"/>
      <c r="G120" s="1094"/>
    </row>
    <row r="121" spans="1:11" ht="15.75" hidden="1" thickBot="1">
      <c r="A121" s="927"/>
      <c r="B121" s="928"/>
      <c r="C121" s="929"/>
      <c r="D121" s="929"/>
      <c r="E121" s="930"/>
      <c r="F121" s="1094"/>
      <c r="G121" s="1094"/>
    </row>
    <row r="122" spans="1:11" s="931" customFormat="1" ht="18.75" customHeight="1" thickBot="1">
      <c r="A122" s="919" t="s">
        <v>1179</v>
      </c>
      <c r="B122" s="1793" t="s">
        <v>1439</v>
      </c>
      <c r="C122" s="1794"/>
      <c r="D122" s="1794"/>
      <c r="E122" s="1794"/>
      <c r="F122" s="1090"/>
      <c r="G122" s="1090"/>
    </row>
    <row r="123" spans="1:11" ht="49.5" customHeight="1">
      <c r="A123" s="871" t="s">
        <v>4</v>
      </c>
      <c r="B123" s="932" t="s">
        <v>1440</v>
      </c>
      <c r="C123" s="921"/>
      <c r="D123" s="921"/>
      <c r="E123" s="933"/>
      <c r="F123" s="933"/>
      <c r="G123" s="933"/>
    </row>
    <row r="124" spans="1:11" ht="20.25" customHeight="1">
      <c r="A124" s="879" t="s">
        <v>5</v>
      </c>
      <c r="B124" s="882" t="s">
        <v>1441</v>
      </c>
      <c r="C124" s="910"/>
      <c r="D124" s="910"/>
      <c r="E124" s="911"/>
      <c r="F124" s="911"/>
      <c r="G124" s="911"/>
    </row>
    <row r="125" spans="1:11" ht="20.25" customHeight="1">
      <c r="A125" s="879" t="s">
        <v>19</v>
      </c>
      <c r="B125" s="882" t="s">
        <v>1442</v>
      </c>
      <c r="C125" s="910">
        <v>424262</v>
      </c>
      <c r="D125" s="910">
        <v>548422</v>
      </c>
      <c r="E125" s="911"/>
      <c r="F125" s="911">
        <f>SUM('1.1.sz.mell  '!H18)</f>
        <v>0</v>
      </c>
      <c r="G125" s="911">
        <f>SUM('1.1.sz.mell  '!I18)</f>
        <v>2072329</v>
      </c>
    </row>
    <row r="126" spans="1:11" ht="20.25" customHeight="1">
      <c r="A126" s="879" t="s">
        <v>149</v>
      </c>
      <c r="B126" s="882" t="s">
        <v>1443</v>
      </c>
      <c r="C126" s="910"/>
      <c r="D126" s="910"/>
      <c r="E126" s="911"/>
      <c r="F126" s="911"/>
      <c r="G126" s="911"/>
    </row>
    <row r="127" spans="1:11" ht="20.25" customHeight="1">
      <c r="A127" s="879" t="s">
        <v>38</v>
      </c>
      <c r="B127" s="897" t="s">
        <v>1444</v>
      </c>
      <c r="C127" s="910"/>
      <c r="D127" s="910"/>
      <c r="E127" s="911"/>
      <c r="F127" s="911"/>
      <c r="G127" s="911"/>
    </row>
    <row r="128" spans="1:11" ht="30" customHeight="1">
      <c r="A128" s="879" t="s">
        <v>48</v>
      </c>
      <c r="B128" s="897" t="s">
        <v>1445</v>
      </c>
      <c r="C128" s="910"/>
      <c r="D128" s="910"/>
      <c r="E128" s="911"/>
      <c r="F128" s="911"/>
      <c r="G128" s="911"/>
    </row>
    <row r="129" spans="1:12" ht="28.5" customHeight="1">
      <c r="A129" s="898" t="s">
        <v>178</v>
      </c>
      <c r="B129" s="899" t="s">
        <v>1446</v>
      </c>
      <c r="C129" s="934"/>
      <c r="D129" s="934"/>
      <c r="E129" s="935"/>
      <c r="F129" s="935"/>
      <c r="G129" s="935"/>
    </row>
    <row r="130" spans="1:12" ht="20.25" customHeight="1" thickBot="1">
      <c r="A130" s="939"/>
      <c r="B130" s="941" t="s">
        <v>1453</v>
      </c>
      <c r="C130" s="913">
        <f t="shared" ref="C130:D130" si="19">SUM(C123:C129)</f>
        <v>424262</v>
      </c>
      <c r="D130" s="913">
        <f t="shared" si="19"/>
        <v>548422</v>
      </c>
      <c r="E130" s="913">
        <f>SUM(E123:E129)</f>
        <v>0</v>
      </c>
      <c r="F130" s="913">
        <f>SUM(F123:F129)</f>
        <v>0</v>
      </c>
      <c r="G130" s="913">
        <f t="shared" ref="G130" si="20">SUM(G123:G129)</f>
        <v>2072329</v>
      </c>
      <c r="I130" s="947">
        <f>SUM('1.1.sz.mell  '!G26-'I. sz. mell.'!E130)</f>
        <v>0</v>
      </c>
      <c r="J130" s="947">
        <f>SUM('1.1.sz.mell  '!H26-'I. sz. mell.'!F130)</f>
        <v>0</v>
      </c>
      <c r="K130" s="947">
        <f>SUM('1.1.sz.mell  '!I26-'I. sz. mell.'!G130)</f>
        <v>0</v>
      </c>
      <c r="L130" s="947"/>
    </row>
    <row r="131" spans="1:12" s="931" customFormat="1" ht="16.5" thickBot="1">
      <c r="A131" s="919" t="s">
        <v>1180</v>
      </c>
      <c r="B131" s="1795" t="s">
        <v>1447</v>
      </c>
      <c r="C131" s="1796"/>
      <c r="D131" s="1796"/>
      <c r="E131" s="1796"/>
      <c r="F131" s="1090"/>
      <c r="G131" s="1090"/>
    </row>
    <row r="132" spans="1:12" ht="45.75" customHeight="1">
      <c r="A132" s="871" t="s">
        <v>4</v>
      </c>
      <c r="B132" s="932" t="s">
        <v>1440</v>
      </c>
      <c r="C132" s="921"/>
      <c r="D132" s="921">
        <v>57762</v>
      </c>
      <c r="E132" s="933"/>
      <c r="F132" s="933"/>
      <c r="G132" s="933"/>
    </row>
    <row r="133" spans="1:12" ht="20.25" customHeight="1">
      <c r="A133" s="879" t="s">
        <v>5</v>
      </c>
      <c r="B133" s="896" t="s">
        <v>1441</v>
      </c>
      <c r="C133" s="910">
        <v>65446</v>
      </c>
      <c r="D133" s="910">
        <v>5414</v>
      </c>
      <c r="E133" s="911">
        <f>SUM('1.2.sz.mell  '!G18)</f>
        <v>64000</v>
      </c>
      <c r="F133" s="911">
        <f>SUM('1.2.sz.mell  '!H18)</f>
        <v>64848</v>
      </c>
      <c r="G133" s="911">
        <f>SUM('1.2.sz.mell  '!I18)</f>
        <v>55237</v>
      </c>
    </row>
    <row r="134" spans="1:12" ht="20.25" customHeight="1">
      <c r="A134" s="879" t="s">
        <v>19</v>
      </c>
      <c r="B134" s="882" t="s">
        <v>1442</v>
      </c>
      <c r="C134" s="910"/>
      <c r="D134" s="910"/>
      <c r="E134" s="911"/>
      <c r="F134" s="911"/>
      <c r="G134" s="911"/>
    </row>
    <row r="135" spans="1:12" ht="20.25" customHeight="1">
      <c r="A135" s="879" t="s">
        <v>149</v>
      </c>
      <c r="B135" s="882" t="s">
        <v>1443</v>
      </c>
      <c r="C135" s="910"/>
      <c r="D135" s="910"/>
      <c r="E135" s="911"/>
      <c r="F135" s="911"/>
      <c r="G135" s="911"/>
    </row>
    <row r="136" spans="1:12" ht="20.25" customHeight="1">
      <c r="A136" s="879" t="s">
        <v>38</v>
      </c>
      <c r="B136" s="897" t="s">
        <v>1444</v>
      </c>
      <c r="C136" s="910"/>
      <c r="D136" s="910"/>
      <c r="E136" s="911"/>
      <c r="F136" s="911"/>
      <c r="G136" s="911"/>
    </row>
    <row r="137" spans="1:12" ht="45">
      <c r="A137" s="879" t="s">
        <v>48</v>
      </c>
      <c r="B137" s="897" t="s">
        <v>1445</v>
      </c>
      <c r="C137" s="910"/>
      <c r="D137" s="910"/>
      <c r="E137" s="911"/>
      <c r="F137" s="911"/>
      <c r="G137" s="911"/>
    </row>
    <row r="138" spans="1:12" ht="33" customHeight="1" thickBot="1">
      <c r="A138" s="898" t="s">
        <v>178</v>
      </c>
      <c r="B138" s="899" t="s">
        <v>1446</v>
      </c>
      <c r="C138" s="936"/>
      <c r="D138" s="936"/>
      <c r="E138" s="937"/>
      <c r="F138" s="937"/>
      <c r="G138" s="937"/>
    </row>
    <row r="139" spans="1:12" ht="30.75" customHeight="1" thickBot="1">
      <c r="A139" s="939"/>
      <c r="B139" s="941" t="s">
        <v>1449</v>
      </c>
      <c r="C139" s="913">
        <f t="shared" ref="C139:E139" si="21">SUM(C132:C138)</f>
        <v>65446</v>
      </c>
      <c r="D139" s="913">
        <f t="shared" si="21"/>
        <v>63176</v>
      </c>
      <c r="E139" s="913">
        <f t="shared" si="21"/>
        <v>64000</v>
      </c>
      <c r="F139" s="913">
        <f t="shared" ref="F139:G139" si="22">SUM(F132:F138)</f>
        <v>64848</v>
      </c>
      <c r="G139" s="913">
        <f t="shared" si="22"/>
        <v>55237</v>
      </c>
      <c r="I139" s="947">
        <f>SUM('1.2.sz.mell  '!G26-'I. sz. mell.'!E139)</f>
        <v>0</v>
      </c>
      <c r="J139" s="947">
        <f>SUM('1.2.sz.mell  '!H26-'I. sz. mell.'!F139)</f>
        <v>0</v>
      </c>
      <c r="K139" s="947">
        <f>SUM('1.2.sz.mell  '!I26-'I. sz. mell.'!G139)</f>
        <v>0</v>
      </c>
    </row>
    <row r="140" spans="1:12" ht="23.25" customHeight="1" thickBot="1">
      <c r="A140" s="919" t="s">
        <v>1819</v>
      </c>
      <c r="B140" s="1139" t="s">
        <v>1183</v>
      </c>
      <c r="C140" s="1140"/>
      <c r="D140" s="1140"/>
      <c r="E140" s="1140"/>
      <c r="F140" s="1140"/>
      <c r="G140" s="1140">
        <f>SUM('2. sz. mell '!F123)</f>
        <v>33951</v>
      </c>
    </row>
    <row r="141" spans="1:12" ht="32.25" customHeight="1" thickBot="1">
      <c r="A141" s="900"/>
      <c r="B141" s="901" t="s">
        <v>1448</v>
      </c>
      <c r="C141" s="1008">
        <f>SUM(C114+C88+C139)+C130</f>
        <v>5438869</v>
      </c>
      <c r="D141" s="948">
        <f>SUM(D114+D88+D139)+D130</f>
        <v>5579635</v>
      </c>
      <c r="E141" s="948">
        <f>SUM(E114+E88+E139)</f>
        <v>3273191</v>
      </c>
      <c r="F141" s="948">
        <f>SUM(F114+F88+F139)</f>
        <v>4558951</v>
      </c>
      <c r="G141" s="948">
        <f>SUM(G114+G88+G139)+G130+G140</f>
        <v>5847538</v>
      </c>
      <c r="J141" s="947"/>
    </row>
    <row r="144" spans="1:12" ht="18.75">
      <c r="B144" s="1102" t="s">
        <v>1918</v>
      </c>
      <c r="C144" s="1104"/>
      <c r="D144" s="1104"/>
      <c r="E144" s="1104">
        <f>SUM('1.1.sz.mell  '!G35)</f>
        <v>3273191</v>
      </c>
      <c r="F144" s="1104">
        <f>SUM('1.1.sz.mell  '!H35)</f>
        <v>4558951</v>
      </c>
      <c r="G144" s="1104">
        <f>SUM('1.1.sz.mell  '!I35)</f>
        <v>6639946</v>
      </c>
    </row>
    <row r="145" spans="2:7" ht="18.75">
      <c r="B145" s="1105" t="s">
        <v>1811</v>
      </c>
      <c r="C145" s="1106"/>
      <c r="D145" s="1106"/>
      <c r="E145" s="1107">
        <f t="shared" ref="E145:F145" si="23">SUM(E144-E77)</f>
        <v>0</v>
      </c>
      <c r="F145" s="1107">
        <f t="shared" si="23"/>
        <v>0</v>
      </c>
      <c r="G145" s="1107">
        <f>SUM(G144-G77)</f>
        <v>0</v>
      </c>
    </row>
    <row r="146" spans="2:7" ht="18.75">
      <c r="B146" s="1102"/>
      <c r="C146" s="1103"/>
      <c r="D146" s="1103"/>
      <c r="E146" s="1103"/>
      <c r="F146" s="1103"/>
      <c r="G146" s="1103"/>
    </row>
    <row r="147" spans="2:7" ht="18.75">
      <c r="B147" s="1102" t="s">
        <v>1917</v>
      </c>
      <c r="C147" s="1103"/>
      <c r="D147" s="1103"/>
      <c r="E147" s="1104">
        <f>SUM('1.1.sz.mell  '!G49)</f>
        <v>3273191</v>
      </c>
      <c r="F147" s="1104">
        <f>SUM('1.1.sz.mell  '!H49)</f>
        <v>4558951</v>
      </c>
      <c r="G147" s="1104">
        <f>SUM('1.1.sz.mell  '!I49)</f>
        <v>5847538</v>
      </c>
    </row>
    <row r="148" spans="2:7" ht="18.75">
      <c r="B148" s="1105" t="s">
        <v>1811</v>
      </c>
      <c r="C148" s="1101"/>
      <c r="D148" s="1101"/>
      <c r="E148" s="1100">
        <f t="shared" ref="E148:F148" si="24">SUM(E147-E141)</f>
        <v>0</v>
      </c>
      <c r="F148" s="1100">
        <f t="shared" si="24"/>
        <v>0</v>
      </c>
      <c r="G148" s="1100">
        <f>SUM(G147-G141)</f>
        <v>0</v>
      </c>
    </row>
    <row r="149" spans="2:7" ht="15.75">
      <c r="B149" s="1099"/>
      <c r="C149" s="1101"/>
      <c r="D149" s="1101"/>
      <c r="E149" s="1101"/>
      <c r="F149" s="1101"/>
      <c r="G149" s="1101"/>
    </row>
    <row r="150" spans="2:7" ht="15.75">
      <c r="B150" s="1099"/>
      <c r="C150" s="1101"/>
      <c r="D150" s="1101"/>
      <c r="E150" s="1101"/>
      <c r="F150" s="1101"/>
      <c r="G150" s="1101"/>
    </row>
    <row r="151" spans="2:7" ht="15.75">
      <c r="B151" s="1099"/>
      <c r="C151" s="1101"/>
      <c r="D151" s="1101"/>
      <c r="E151" s="1101"/>
      <c r="F151" s="1101"/>
      <c r="G151" s="1101"/>
    </row>
    <row r="152" spans="2:7" ht="15.75">
      <c r="B152" s="1099"/>
      <c r="C152" s="1101"/>
      <c r="D152" s="1101"/>
      <c r="E152" s="1101"/>
      <c r="F152" s="1101"/>
      <c r="G152" s="1101"/>
    </row>
    <row r="153" spans="2:7" ht="15.75">
      <c r="B153" s="1099"/>
      <c r="C153" s="1101"/>
      <c r="D153" s="1101"/>
      <c r="E153" s="1101"/>
      <c r="F153" s="1101"/>
      <c r="G153" s="1101"/>
    </row>
    <row r="154" spans="2:7" ht="15.75">
      <c r="B154" s="1099"/>
      <c r="C154" s="1101"/>
      <c r="D154" s="1101"/>
      <c r="E154" s="1101"/>
      <c r="F154" s="1101"/>
      <c r="G154" s="1101"/>
    </row>
  </sheetData>
  <mergeCells count="10">
    <mergeCell ref="A80:C80"/>
    <mergeCell ref="B107:E107"/>
    <mergeCell ref="B122:E122"/>
    <mergeCell ref="B131:E131"/>
    <mergeCell ref="B3:C3"/>
    <mergeCell ref="A7:E7"/>
    <mergeCell ref="B41:C41"/>
    <mergeCell ref="B58:C58"/>
    <mergeCell ref="B67:C67"/>
    <mergeCell ref="B79:E79"/>
  </mergeCells>
  <printOptions horizontalCentered="1"/>
  <pageMargins left="0.31496062992125984" right="0.23622047244094491" top="0.74803149606299213" bottom="0.27559055118110237" header="0.19685039370078741" footer="0.15748031496062992"/>
  <pageSetup paperSize="9" firstPageNumber="5" orientation="portrait" useFirstPageNumber="1" r:id="rId1"/>
  <headerFooter>
    <oddHeader>&amp;C&amp;16
Vecsés Város Önkormányzat 2013. évi összevont mérlege&amp;R&amp;"Times New Roman,Normál"&amp;12 I. számú mellékletEzer Forint</oddHeader>
    <oddFooter>&amp;C- &amp;P -</oddFooter>
  </headerFooter>
  <rowBreaks count="4" manualBreakCount="4">
    <brk id="27" max="5" man="1"/>
    <brk id="50" max="5" man="1"/>
    <brk id="71" max="5" man="1"/>
    <brk id="12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view="pageBreakPreview" topLeftCell="A4" zoomScale="110" zoomScaleSheetLayoutView="110" workbookViewId="0">
      <selection activeCell="G19" sqref="G19"/>
    </sheetView>
  </sheetViews>
  <sheetFormatPr defaultRowHeight="12.75"/>
  <cols>
    <col min="1" max="1" width="2.5" style="274" customWidth="1"/>
    <col min="2" max="2" width="4.1640625" style="275" customWidth="1"/>
    <col min="3" max="3" width="4" style="275" customWidth="1"/>
    <col min="4" max="4" width="63.83203125" style="274" customWidth="1"/>
    <col min="5" max="6" width="15.83203125" style="274" customWidth="1"/>
    <col min="7" max="7" width="15" style="274" customWidth="1"/>
    <col min="8" max="8" width="8.33203125" style="274" customWidth="1"/>
    <col min="9" max="16384" width="9.33203125" style="274"/>
  </cols>
  <sheetData>
    <row r="1" spans="1:8" ht="48" customHeight="1">
      <c r="A1" s="1924" t="s">
        <v>318</v>
      </c>
      <c r="B1" s="1924"/>
      <c r="C1" s="1924"/>
      <c r="D1" s="276" t="s">
        <v>258</v>
      </c>
      <c r="E1" s="277" t="s">
        <v>1267</v>
      </c>
      <c r="F1" s="277" t="s">
        <v>1921</v>
      </c>
      <c r="G1" s="277" t="s">
        <v>1924</v>
      </c>
      <c r="H1" s="277" t="s">
        <v>2</v>
      </c>
    </row>
    <row r="2" spans="1:8" ht="18.75">
      <c r="A2" s="278"/>
      <c r="B2" s="279"/>
      <c r="C2" s="280"/>
      <c r="D2" s="281" t="s">
        <v>319</v>
      </c>
      <c r="E2" s="282"/>
      <c r="F2" s="282"/>
      <c r="G2" s="282"/>
      <c r="H2" s="282"/>
    </row>
    <row r="3" spans="1:8" ht="19.5" customHeight="1">
      <c r="A3" s="1925" t="s">
        <v>320</v>
      </c>
      <c r="B3" s="1925"/>
      <c r="C3" s="1925"/>
      <c r="D3" s="1925"/>
      <c r="E3" s="283"/>
      <c r="F3" s="283"/>
      <c r="G3" s="283"/>
      <c r="H3" s="283"/>
    </row>
    <row r="4" spans="1:8" s="289" customFormat="1" ht="16.5">
      <c r="A4" s="284"/>
      <c r="B4" s="285" t="s">
        <v>102</v>
      </c>
      <c r="C4" s="286"/>
      <c r="D4" s="287" t="s">
        <v>321</v>
      </c>
      <c r="E4" s="288">
        <f>SUM(E5+E7+E15+E25+E26+E27+E28)</f>
        <v>77679</v>
      </c>
      <c r="F4" s="288">
        <f>SUM(F5+F7+F15+F25+F26+F27+F28)</f>
        <v>148512</v>
      </c>
      <c r="G4" s="288">
        <f>SUM(G5+G7+G15+G25+G26+G27+G28)</f>
        <v>151921</v>
      </c>
      <c r="H4" s="288">
        <f>G4/F4*100</f>
        <v>102.29543740573152</v>
      </c>
    </row>
    <row r="5" spans="1:8" s="295" customFormat="1" ht="15">
      <c r="A5" s="290"/>
      <c r="B5" s="291" t="s">
        <v>184</v>
      </c>
      <c r="C5" s="292"/>
      <c r="D5" s="293" t="s">
        <v>322</v>
      </c>
      <c r="E5" s="294">
        <f>E6</f>
        <v>0</v>
      </c>
      <c r="F5" s="294">
        <f>F6</f>
        <v>0</v>
      </c>
      <c r="G5" s="294">
        <f>G6</f>
        <v>0</v>
      </c>
      <c r="H5" s="294"/>
    </row>
    <row r="6" spans="1:8" s="299" customFormat="1" ht="15" customHeight="1">
      <c r="A6" s="296"/>
      <c r="B6" s="1926" t="s">
        <v>323</v>
      </c>
      <c r="C6" s="1926"/>
      <c r="D6" s="297" t="s">
        <v>324</v>
      </c>
      <c r="E6" s="298"/>
      <c r="F6" s="298"/>
      <c r="G6" s="298"/>
      <c r="H6" s="298"/>
    </row>
    <row r="7" spans="1:8" s="295" customFormat="1" ht="15">
      <c r="A7" s="290"/>
      <c r="B7" s="291" t="s">
        <v>186</v>
      </c>
      <c r="C7" s="292"/>
      <c r="D7" s="293" t="s">
        <v>325</v>
      </c>
      <c r="E7" s="294">
        <f>E8+E9</f>
        <v>15400</v>
      </c>
      <c r="F7" s="294">
        <f>F8+F9</f>
        <v>69080</v>
      </c>
      <c r="G7" s="294">
        <f>G8+G9</f>
        <v>69080</v>
      </c>
      <c r="H7" s="294">
        <f t="shared" ref="H7:H71" si="0">G7/F7*100</f>
        <v>100</v>
      </c>
    </row>
    <row r="8" spans="1:8" ht="15" customHeight="1">
      <c r="A8" s="296"/>
      <c r="B8" s="1927" t="s">
        <v>326</v>
      </c>
      <c r="C8" s="1927"/>
      <c r="D8" s="297" t="s">
        <v>327</v>
      </c>
      <c r="E8" s="298"/>
      <c r="F8" s="298">
        <v>520</v>
      </c>
      <c r="G8" s="298">
        <v>520</v>
      </c>
      <c r="H8" s="298"/>
    </row>
    <row r="9" spans="1:8" s="295" customFormat="1" ht="15" customHeight="1">
      <c r="A9" s="290"/>
      <c r="B9" s="1928" t="s">
        <v>328</v>
      </c>
      <c r="C9" s="1928"/>
      <c r="D9" s="301" t="s">
        <v>329</v>
      </c>
      <c r="E9" s="302">
        <f>SUM(E10:E14)</f>
        <v>15400</v>
      </c>
      <c r="F9" s="302">
        <f>SUM(F10:F14)</f>
        <v>68560</v>
      </c>
      <c r="G9" s="302">
        <f>SUM(G10:G14)</f>
        <v>68560</v>
      </c>
      <c r="H9" s="302">
        <f t="shared" si="0"/>
        <v>100</v>
      </c>
    </row>
    <row r="10" spans="1:8" s="303" customFormat="1" ht="15" customHeight="1">
      <c r="A10" s="296"/>
      <c r="B10" s="1929" t="s">
        <v>330</v>
      </c>
      <c r="C10" s="1929"/>
      <c r="D10" s="297" t="s">
        <v>331</v>
      </c>
      <c r="E10" s="298">
        <v>10000</v>
      </c>
      <c r="F10" s="298">
        <v>14683</v>
      </c>
      <c r="G10" s="298">
        <v>14683</v>
      </c>
      <c r="H10" s="298">
        <f t="shared" si="0"/>
        <v>100</v>
      </c>
    </row>
    <row r="11" spans="1:8" s="303" customFormat="1" ht="15" customHeight="1">
      <c r="A11" s="296"/>
      <c r="B11" s="1929" t="s">
        <v>332</v>
      </c>
      <c r="C11" s="1929"/>
      <c r="D11" s="297" t="s">
        <v>333</v>
      </c>
      <c r="E11" s="298">
        <v>900</v>
      </c>
      <c r="F11" s="298">
        <v>318</v>
      </c>
      <c r="G11" s="298">
        <v>318</v>
      </c>
      <c r="H11" s="298"/>
    </row>
    <row r="12" spans="1:8" s="303" customFormat="1" ht="15" customHeight="1">
      <c r="A12" s="296"/>
      <c r="B12" s="1929" t="s">
        <v>334</v>
      </c>
      <c r="C12" s="1929"/>
      <c r="D12" s="297" t="s">
        <v>335</v>
      </c>
      <c r="E12" s="298">
        <v>3000</v>
      </c>
      <c r="F12" s="298">
        <v>1135</v>
      </c>
      <c r="G12" s="298">
        <v>1135</v>
      </c>
      <c r="H12" s="298">
        <f t="shared" si="0"/>
        <v>100</v>
      </c>
    </row>
    <row r="13" spans="1:8" s="303" customFormat="1" ht="15" customHeight="1">
      <c r="A13" s="296"/>
      <c r="B13" s="1929" t="s">
        <v>336</v>
      </c>
      <c r="C13" s="1929"/>
      <c r="D13" s="297" t="s">
        <v>337</v>
      </c>
      <c r="E13" s="784">
        <v>1500</v>
      </c>
      <c r="F13" s="298">
        <v>0</v>
      </c>
      <c r="G13" s="298">
        <v>0</v>
      </c>
      <c r="H13" s="298"/>
    </row>
    <row r="14" spans="1:8" s="303" customFormat="1" ht="15" customHeight="1">
      <c r="A14" s="296"/>
      <c r="B14" s="1929" t="s">
        <v>338</v>
      </c>
      <c r="C14" s="1929"/>
      <c r="D14" s="297" t="s">
        <v>339</v>
      </c>
      <c r="E14" s="298"/>
      <c r="F14" s="298">
        <v>52424</v>
      </c>
      <c r="G14" s="298">
        <v>52424</v>
      </c>
      <c r="H14" s="298">
        <f t="shared" si="0"/>
        <v>100</v>
      </c>
    </row>
    <row r="15" spans="1:8" s="295" customFormat="1" ht="15">
      <c r="A15" s="290"/>
      <c r="B15" s="291" t="s">
        <v>340</v>
      </c>
      <c r="C15" s="292"/>
      <c r="D15" s="293" t="s">
        <v>341</v>
      </c>
      <c r="E15" s="294">
        <f>E16+E24</f>
        <v>50803</v>
      </c>
      <c r="F15" s="294">
        <f>F16+F24</f>
        <v>45503</v>
      </c>
      <c r="G15" s="294">
        <f>G16+G24</f>
        <v>46155</v>
      </c>
      <c r="H15" s="294">
        <f t="shared" si="0"/>
        <v>101.43287255785334</v>
      </c>
    </row>
    <row r="16" spans="1:8" s="295" customFormat="1" ht="15">
      <c r="A16" s="290"/>
      <c r="B16" s="304" t="s">
        <v>342</v>
      </c>
      <c r="C16" s="305"/>
      <c r="D16" s="301" t="s">
        <v>1268</v>
      </c>
      <c r="E16" s="302">
        <f>SUM(E17,E23)</f>
        <v>49503</v>
      </c>
      <c r="F16" s="302">
        <f>SUM(F17,F23)</f>
        <v>44728</v>
      </c>
      <c r="G16" s="302">
        <f>SUM(G17,G23)</f>
        <v>45378</v>
      </c>
      <c r="H16" s="302">
        <f t="shared" si="0"/>
        <v>101.4532284027902</v>
      </c>
    </row>
    <row r="17" spans="1:8" ht="15" customHeight="1">
      <c r="A17" s="296"/>
      <c r="B17" s="1927" t="s">
        <v>343</v>
      </c>
      <c r="C17" s="1927"/>
      <c r="D17" s="301" t="s">
        <v>344</v>
      </c>
      <c r="E17" s="302">
        <f>SUM(E18:E23)</f>
        <v>49503</v>
      </c>
      <c r="F17" s="302">
        <f>SUM(F18:F22)</f>
        <v>44300</v>
      </c>
      <c r="G17" s="302">
        <f>SUM(G18:G22)</f>
        <v>44300</v>
      </c>
      <c r="H17" s="302">
        <f t="shared" si="0"/>
        <v>100</v>
      </c>
    </row>
    <row r="18" spans="1:8" ht="15" customHeight="1">
      <c r="A18" s="296"/>
      <c r="B18" s="1930" t="s">
        <v>345</v>
      </c>
      <c r="C18" s="1930"/>
      <c r="D18" s="297" t="s">
        <v>346</v>
      </c>
      <c r="E18" s="298">
        <v>7000</v>
      </c>
      <c r="F18" s="298">
        <v>7555</v>
      </c>
      <c r="G18" s="298">
        <v>7555</v>
      </c>
      <c r="H18" s="298">
        <f t="shared" si="0"/>
        <v>100</v>
      </c>
    </row>
    <row r="19" spans="1:8" ht="15" customHeight="1">
      <c r="A19" s="296"/>
      <c r="B19" s="1930" t="s">
        <v>347</v>
      </c>
      <c r="C19" s="1930"/>
      <c r="D19" s="297" t="s">
        <v>1269</v>
      </c>
      <c r="E19" s="298">
        <v>40497</v>
      </c>
      <c r="F19" s="298">
        <v>32465</v>
      </c>
      <c r="G19" s="298">
        <v>32465</v>
      </c>
      <c r="H19" s="298">
        <f t="shared" si="0"/>
        <v>100</v>
      </c>
    </row>
    <row r="20" spans="1:8" ht="15" customHeight="1">
      <c r="A20" s="296"/>
      <c r="B20" s="1930" t="s">
        <v>349</v>
      </c>
      <c r="C20" s="1930"/>
      <c r="D20" s="297" t="s">
        <v>1291</v>
      </c>
      <c r="E20" s="298">
        <v>1000</v>
      </c>
      <c r="F20" s="298">
        <v>2920</v>
      </c>
      <c r="G20" s="298">
        <v>2920</v>
      </c>
      <c r="H20" s="298">
        <f t="shared" si="0"/>
        <v>100</v>
      </c>
    </row>
    <row r="21" spans="1:8" ht="15" customHeight="1">
      <c r="A21" s="296"/>
      <c r="B21" s="1930" t="s">
        <v>1289</v>
      </c>
      <c r="C21" s="1930"/>
      <c r="D21" s="297" t="s">
        <v>1292</v>
      </c>
      <c r="E21" s="298">
        <v>150</v>
      </c>
      <c r="F21" s="298">
        <v>463</v>
      </c>
      <c r="G21" s="298">
        <v>463</v>
      </c>
      <c r="H21" s="298">
        <f t="shared" si="0"/>
        <v>100</v>
      </c>
    </row>
    <row r="22" spans="1:8" ht="15" customHeight="1">
      <c r="A22" s="296"/>
      <c r="B22" s="1930" t="s">
        <v>1290</v>
      </c>
      <c r="C22" s="1930"/>
      <c r="D22" s="297" t="s">
        <v>1293</v>
      </c>
      <c r="E22" s="298">
        <v>856</v>
      </c>
      <c r="F22" s="298">
        <v>897</v>
      </c>
      <c r="G22" s="298">
        <v>897</v>
      </c>
      <c r="H22" s="298">
        <f t="shared" si="0"/>
        <v>100</v>
      </c>
    </row>
    <row r="23" spans="1:8" ht="15">
      <c r="A23" s="296"/>
      <c r="B23" s="1930"/>
      <c r="C23" s="1930"/>
      <c r="D23" s="301" t="s">
        <v>1770</v>
      </c>
      <c r="E23" s="302">
        <v>0</v>
      </c>
      <c r="F23" s="302">
        <v>428</v>
      </c>
      <c r="G23" s="302">
        <v>1078</v>
      </c>
      <c r="H23" s="302">
        <f t="shared" si="0"/>
        <v>251.86915887850466</v>
      </c>
    </row>
    <row r="24" spans="1:8" ht="15">
      <c r="A24" s="290"/>
      <c r="B24" s="291" t="s">
        <v>351</v>
      </c>
      <c r="C24" s="305"/>
      <c r="D24" s="301" t="s">
        <v>1252</v>
      </c>
      <c r="E24" s="302">
        <v>1300</v>
      </c>
      <c r="F24" s="302">
        <v>775</v>
      </c>
      <c r="G24" s="302">
        <v>777</v>
      </c>
      <c r="H24" s="302">
        <f t="shared" si="0"/>
        <v>100.25806451612904</v>
      </c>
    </row>
    <row r="25" spans="1:8" s="295" customFormat="1" ht="15">
      <c r="A25" s="290"/>
      <c r="B25" s="291" t="s">
        <v>352</v>
      </c>
      <c r="C25" s="292"/>
      <c r="D25" s="293" t="s">
        <v>353</v>
      </c>
      <c r="E25" s="294"/>
      <c r="F25" s="294">
        <v>849</v>
      </c>
      <c r="G25" s="294">
        <v>3606</v>
      </c>
      <c r="H25" s="294">
        <f t="shared" si="0"/>
        <v>424.73498233215548</v>
      </c>
    </row>
    <row r="26" spans="1:8" s="295" customFormat="1" ht="15">
      <c r="A26" s="290"/>
      <c r="B26" s="291" t="s">
        <v>354</v>
      </c>
      <c r="C26" s="292"/>
      <c r="D26" s="293" t="s">
        <v>355</v>
      </c>
      <c r="E26" s="294">
        <v>11476</v>
      </c>
      <c r="F26" s="294">
        <v>27700</v>
      </c>
      <c r="G26" s="294">
        <v>27700</v>
      </c>
      <c r="H26" s="294">
        <f t="shared" si="0"/>
        <v>100</v>
      </c>
    </row>
    <row r="27" spans="1:8" s="295" customFormat="1" ht="15">
      <c r="A27" s="290"/>
      <c r="B27" s="291" t="s">
        <v>356</v>
      </c>
      <c r="C27" s="292"/>
      <c r="D27" s="293" t="s">
        <v>357</v>
      </c>
      <c r="E27" s="294"/>
      <c r="F27" s="294"/>
      <c r="G27" s="294"/>
      <c r="H27" s="294"/>
    </row>
    <row r="28" spans="1:8" s="295" customFormat="1" ht="15">
      <c r="A28" s="290"/>
      <c r="B28" s="291" t="s">
        <v>358</v>
      </c>
      <c r="C28" s="292"/>
      <c r="D28" s="293" t="s">
        <v>359</v>
      </c>
      <c r="E28" s="294"/>
      <c r="F28" s="294">
        <v>5380</v>
      </c>
      <c r="G28" s="294">
        <v>5380</v>
      </c>
      <c r="H28" s="294"/>
    </row>
    <row r="29" spans="1:8" s="289" customFormat="1" ht="16.5">
      <c r="A29" s="284"/>
      <c r="B29" s="285" t="s">
        <v>104</v>
      </c>
      <c r="C29" s="286"/>
      <c r="D29" s="287" t="s">
        <v>200</v>
      </c>
      <c r="E29" s="288">
        <f>SUM(E30+E37+E42+E43+E44+E45)</f>
        <v>1625000</v>
      </c>
      <c r="F29" s="288">
        <f>SUM(F30+F37+F42+F43+F44+F45)</f>
        <v>1681152</v>
      </c>
      <c r="G29" s="288">
        <f>SUM(G30+G37+G42+G43+G44+G45)</f>
        <v>1801651</v>
      </c>
      <c r="H29" s="288">
        <f t="shared" si="0"/>
        <v>107.16764456753465</v>
      </c>
    </row>
    <row r="30" spans="1:8" s="295" customFormat="1" ht="15">
      <c r="A30" s="290"/>
      <c r="B30" s="291" t="s">
        <v>189</v>
      </c>
      <c r="C30" s="292"/>
      <c r="D30" s="293" t="s">
        <v>2026</v>
      </c>
      <c r="E30" s="294">
        <f>SUM(E31:E36)</f>
        <v>1525000</v>
      </c>
      <c r="F30" s="294">
        <f>SUM(F31:F36)</f>
        <v>1598495</v>
      </c>
      <c r="G30" s="294">
        <f>SUM(G31:G36)</f>
        <v>1718617</v>
      </c>
      <c r="H30" s="294">
        <f t="shared" si="0"/>
        <v>107.51469350858152</v>
      </c>
    </row>
    <row r="31" spans="1:8" ht="15" customHeight="1">
      <c r="A31" s="296"/>
      <c r="B31" s="1927" t="s">
        <v>360</v>
      </c>
      <c r="C31" s="1927"/>
      <c r="D31" s="297" t="s">
        <v>361</v>
      </c>
      <c r="E31" s="784">
        <v>260000</v>
      </c>
      <c r="F31" s="298">
        <v>273951</v>
      </c>
      <c r="G31" s="298">
        <v>273951</v>
      </c>
      <c r="H31" s="298">
        <f t="shared" si="0"/>
        <v>100</v>
      </c>
    </row>
    <row r="32" spans="1:8" ht="15" customHeight="1">
      <c r="A32" s="296"/>
      <c r="B32" s="1927" t="s">
        <v>362</v>
      </c>
      <c r="C32" s="1927"/>
      <c r="D32" s="297" t="s">
        <v>363</v>
      </c>
      <c r="E32" s="784">
        <v>1250000</v>
      </c>
      <c r="F32" s="298">
        <v>1301974</v>
      </c>
      <c r="G32" s="298">
        <v>1410166</v>
      </c>
      <c r="H32" s="298">
        <f t="shared" si="0"/>
        <v>108.30984336092733</v>
      </c>
    </row>
    <row r="33" spans="1:8" ht="15" customHeight="1">
      <c r="A33" s="296"/>
      <c r="B33" s="1927" t="s">
        <v>364</v>
      </c>
      <c r="C33" s="1927"/>
      <c r="D33" s="297" t="s">
        <v>365</v>
      </c>
      <c r="E33" s="786"/>
      <c r="F33" s="308"/>
      <c r="G33" s="308"/>
      <c r="H33" s="308"/>
    </row>
    <row r="34" spans="1:8" ht="15" customHeight="1">
      <c r="A34" s="296"/>
      <c r="B34" s="1927" t="s">
        <v>366</v>
      </c>
      <c r="C34" s="1927"/>
      <c r="D34" s="297" t="s">
        <v>367</v>
      </c>
      <c r="E34" s="784"/>
      <c r="F34" s="298"/>
      <c r="G34" s="298"/>
      <c r="H34" s="298"/>
    </row>
    <row r="35" spans="1:8" ht="15" customHeight="1">
      <c r="A35" s="296"/>
      <c r="B35" s="1927" t="s">
        <v>368</v>
      </c>
      <c r="C35" s="1927"/>
      <c r="D35" s="297" t="s">
        <v>369</v>
      </c>
      <c r="E35" s="784">
        <v>10000</v>
      </c>
      <c r="F35" s="298">
        <v>10000</v>
      </c>
      <c r="G35" s="298">
        <v>21930</v>
      </c>
      <c r="H35" s="298">
        <f t="shared" si="0"/>
        <v>219.3</v>
      </c>
    </row>
    <row r="36" spans="1:8" ht="15" customHeight="1">
      <c r="A36" s="296"/>
      <c r="B36" s="1931" t="s">
        <v>370</v>
      </c>
      <c r="C36" s="1932"/>
      <c r="D36" s="297" t="s">
        <v>371</v>
      </c>
      <c r="E36" s="784">
        <v>5000</v>
      </c>
      <c r="F36" s="298">
        <v>12570</v>
      </c>
      <c r="G36" s="298">
        <v>12570</v>
      </c>
      <c r="H36" s="298">
        <f t="shared" si="0"/>
        <v>100</v>
      </c>
    </row>
    <row r="37" spans="1:8" s="295" customFormat="1" ht="15">
      <c r="A37" s="290"/>
      <c r="B37" s="291" t="s">
        <v>191</v>
      </c>
      <c r="C37" s="292"/>
      <c r="D37" s="293" t="s">
        <v>11</v>
      </c>
      <c r="E37" s="787">
        <f>SUM(E38:E41)</f>
        <v>100000</v>
      </c>
      <c r="F37" s="294">
        <f>SUM(F38:F41)</f>
        <v>79116</v>
      </c>
      <c r="G37" s="294">
        <f>SUM(G38:G41)</f>
        <v>79116</v>
      </c>
      <c r="H37" s="294">
        <f t="shared" si="0"/>
        <v>100</v>
      </c>
    </row>
    <row r="38" spans="1:8" ht="15" customHeight="1">
      <c r="A38" s="296"/>
      <c r="B38" s="1927" t="s">
        <v>372</v>
      </c>
      <c r="C38" s="1927"/>
      <c r="D38" s="297" t="s">
        <v>1386</v>
      </c>
      <c r="E38" s="784">
        <v>100000</v>
      </c>
      <c r="F38" s="298">
        <v>79116</v>
      </c>
      <c r="G38" s="298">
        <v>79116</v>
      </c>
      <c r="H38" s="298">
        <f t="shared" si="0"/>
        <v>100</v>
      </c>
    </row>
    <row r="39" spans="1:8" ht="15" hidden="1" customHeight="1">
      <c r="A39" s="278"/>
      <c r="B39" s="1927" t="s">
        <v>373</v>
      </c>
      <c r="C39" s="1927"/>
      <c r="D39" s="297" t="s">
        <v>374</v>
      </c>
      <c r="E39" s="784"/>
      <c r="F39" s="298"/>
      <c r="G39" s="298"/>
      <c r="H39" s="298" t="e">
        <f t="shared" si="0"/>
        <v>#DIV/0!</v>
      </c>
    </row>
    <row r="40" spans="1:8" ht="15" hidden="1" customHeight="1">
      <c r="A40" s="278"/>
      <c r="B40" s="1927" t="s">
        <v>375</v>
      </c>
      <c r="C40" s="1927"/>
      <c r="D40" s="297" t="s">
        <v>376</v>
      </c>
      <c r="E40" s="784"/>
      <c r="F40" s="298"/>
      <c r="G40" s="298"/>
      <c r="H40" s="298" t="e">
        <f t="shared" si="0"/>
        <v>#DIV/0!</v>
      </c>
    </row>
    <row r="41" spans="1:8" ht="15" hidden="1" customHeight="1">
      <c r="A41" s="296"/>
      <c r="B41" s="1927" t="s">
        <v>377</v>
      </c>
      <c r="C41" s="1927"/>
      <c r="D41" s="297"/>
      <c r="E41" s="784"/>
      <c r="F41" s="298"/>
      <c r="G41" s="298"/>
      <c r="H41" s="298" t="e">
        <f t="shared" si="0"/>
        <v>#DIV/0!</v>
      </c>
    </row>
    <row r="42" spans="1:8" s="295" customFormat="1" ht="15">
      <c r="A42" s="290"/>
      <c r="B42" s="291" t="s">
        <v>378</v>
      </c>
      <c r="C42" s="292"/>
      <c r="D42" s="293" t="s">
        <v>379</v>
      </c>
      <c r="E42" s="294"/>
      <c r="F42" s="294"/>
      <c r="G42" s="294">
        <v>377</v>
      </c>
      <c r="H42" s="294"/>
    </row>
    <row r="43" spans="1:8" s="295" customFormat="1" ht="15">
      <c r="A43" s="290"/>
      <c r="B43" s="291" t="s">
        <v>380</v>
      </c>
      <c r="C43" s="292"/>
      <c r="D43" s="293" t="s">
        <v>381</v>
      </c>
      <c r="E43" s="294"/>
      <c r="F43" s="294">
        <v>5</v>
      </c>
      <c r="G43" s="294">
        <v>5</v>
      </c>
      <c r="H43" s="294"/>
    </row>
    <row r="44" spans="1:8" s="295" customFormat="1" ht="15">
      <c r="A44" s="290"/>
      <c r="B44" s="291" t="s">
        <v>382</v>
      </c>
      <c r="C44" s="292"/>
      <c r="D44" s="293" t="s">
        <v>383</v>
      </c>
      <c r="E44" s="294"/>
      <c r="F44" s="294">
        <v>3536</v>
      </c>
      <c r="G44" s="294">
        <v>3536</v>
      </c>
      <c r="H44" s="294"/>
    </row>
    <row r="45" spans="1:8" s="295" customFormat="1" ht="15">
      <c r="A45" s="290"/>
      <c r="B45" s="291" t="s">
        <v>384</v>
      </c>
      <c r="C45" s="292"/>
      <c r="D45" s="293" t="s">
        <v>385</v>
      </c>
      <c r="E45" s="294">
        <f>SUM(E46)</f>
        <v>0</v>
      </c>
      <c r="F45" s="294">
        <v>0</v>
      </c>
      <c r="G45" s="294">
        <v>0</v>
      </c>
      <c r="H45" s="294"/>
    </row>
    <row r="46" spans="1:8" s="295" customFormat="1" ht="15.75" hidden="1" thickBot="1">
      <c r="A46" s="756"/>
      <c r="B46" s="757" t="s">
        <v>386</v>
      </c>
      <c r="C46" s="758"/>
      <c r="D46" s="759" t="s">
        <v>387</v>
      </c>
      <c r="E46" s="760">
        <v>0</v>
      </c>
      <c r="F46" s="760">
        <v>0</v>
      </c>
      <c r="G46" s="760"/>
      <c r="H46" s="760"/>
    </row>
    <row r="47" spans="1:8" s="289" customFormat="1" ht="16.5">
      <c r="A47" s="751"/>
      <c r="B47" s="752" t="s">
        <v>106</v>
      </c>
      <c r="C47" s="753"/>
      <c r="D47" s="754" t="s">
        <v>388</v>
      </c>
      <c r="E47" s="755">
        <f>SUM(E48+E49+E66+E58+E69)</f>
        <v>526670</v>
      </c>
      <c r="F47" s="755">
        <f>SUM(F48+F49+F66+F58+F69)</f>
        <v>636755</v>
      </c>
      <c r="G47" s="755">
        <f>SUM(G48+G49+G66+G58+G69)</f>
        <v>636755</v>
      </c>
      <c r="H47" s="755">
        <f t="shared" si="0"/>
        <v>100</v>
      </c>
    </row>
    <row r="48" spans="1:8" s="295" customFormat="1" ht="15">
      <c r="A48" s="290"/>
      <c r="B48" s="291" t="s">
        <v>389</v>
      </c>
      <c r="C48" s="292"/>
      <c r="D48" s="293" t="s">
        <v>1270</v>
      </c>
      <c r="E48" s="294">
        <v>517641</v>
      </c>
      <c r="F48" s="294">
        <v>624348</v>
      </c>
      <c r="G48" s="294">
        <v>624348</v>
      </c>
      <c r="H48" s="294">
        <f t="shared" si="0"/>
        <v>100</v>
      </c>
    </row>
    <row r="49" spans="1:8" s="295" customFormat="1" ht="15" hidden="1">
      <c r="A49" s="290"/>
      <c r="B49" s="291" t="s">
        <v>390</v>
      </c>
      <c r="C49" s="292"/>
      <c r="D49" s="293" t="s">
        <v>391</v>
      </c>
      <c r="E49" s="294">
        <f>SUM(E50:E56)</f>
        <v>0</v>
      </c>
      <c r="F49" s="294">
        <f>SUM(F50:F57)</f>
        <v>0</v>
      </c>
      <c r="G49" s="294">
        <f>SUM(G50:G57)</f>
        <v>0</v>
      </c>
      <c r="H49" s="294" t="e">
        <f t="shared" si="0"/>
        <v>#DIV/0!</v>
      </c>
    </row>
    <row r="50" spans="1:8" ht="15" hidden="1" customHeight="1">
      <c r="A50" s="296"/>
      <c r="B50" s="1927" t="s">
        <v>392</v>
      </c>
      <c r="C50" s="1927"/>
      <c r="D50" s="297" t="s">
        <v>393</v>
      </c>
      <c r="E50" s="298"/>
      <c r="F50" s="298"/>
      <c r="G50" s="298"/>
      <c r="H50" s="298" t="e">
        <f t="shared" si="0"/>
        <v>#DIV/0!</v>
      </c>
    </row>
    <row r="51" spans="1:8" ht="15" hidden="1" customHeight="1">
      <c r="A51" s="296"/>
      <c r="B51" s="1927" t="s">
        <v>394</v>
      </c>
      <c r="C51" s="1927"/>
      <c r="D51" s="297" t="s">
        <v>395</v>
      </c>
      <c r="E51" s="298"/>
      <c r="F51" s="298"/>
      <c r="G51" s="298"/>
      <c r="H51" s="298" t="e">
        <f t="shared" si="0"/>
        <v>#DIV/0!</v>
      </c>
    </row>
    <row r="52" spans="1:8" ht="15" hidden="1" customHeight="1">
      <c r="A52" s="296"/>
      <c r="B52" s="1927" t="s">
        <v>396</v>
      </c>
      <c r="C52" s="1927"/>
      <c r="D52" s="297" t="s">
        <v>397</v>
      </c>
      <c r="E52" s="298"/>
      <c r="F52" s="298"/>
      <c r="G52" s="298"/>
      <c r="H52" s="298" t="e">
        <f t="shared" si="0"/>
        <v>#DIV/0!</v>
      </c>
    </row>
    <row r="53" spans="1:8" ht="15" hidden="1" customHeight="1">
      <c r="A53" s="296"/>
      <c r="B53" s="1927" t="s">
        <v>398</v>
      </c>
      <c r="C53" s="1927"/>
      <c r="D53" s="297" t="s">
        <v>399</v>
      </c>
      <c r="E53" s="298"/>
      <c r="F53" s="298"/>
      <c r="G53" s="298"/>
      <c r="H53" s="298" t="e">
        <f t="shared" si="0"/>
        <v>#DIV/0!</v>
      </c>
    </row>
    <row r="54" spans="1:8" ht="15" hidden="1" customHeight="1">
      <c r="A54" s="296"/>
      <c r="B54" s="1927" t="s">
        <v>400</v>
      </c>
      <c r="C54" s="1927"/>
      <c r="D54" s="297" t="s">
        <v>401</v>
      </c>
      <c r="E54" s="298"/>
      <c r="F54" s="298"/>
      <c r="G54" s="298"/>
      <c r="H54" s="298" t="e">
        <f t="shared" si="0"/>
        <v>#DIV/0!</v>
      </c>
    </row>
    <row r="55" spans="1:8" ht="15" hidden="1" customHeight="1">
      <c r="A55" s="296"/>
      <c r="B55" s="1927" t="s">
        <v>402</v>
      </c>
      <c r="C55" s="1927"/>
      <c r="D55" s="297" t="s">
        <v>403</v>
      </c>
      <c r="E55" s="298"/>
      <c r="F55" s="298"/>
      <c r="G55" s="298"/>
      <c r="H55" s="298" t="e">
        <f t="shared" si="0"/>
        <v>#DIV/0!</v>
      </c>
    </row>
    <row r="56" spans="1:8" ht="15" hidden="1" customHeight="1">
      <c r="A56" s="296"/>
      <c r="B56" s="1927" t="s">
        <v>404</v>
      </c>
      <c r="C56" s="1927"/>
      <c r="D56" s="297" t="s">
        <v>405</v>
      </c>
      <c r="E56" s="298"/>
      <c r="F56" s="298"/>
      <c r="G56" s="298"/>
      <c r="H56" s="298" t="e">
        <f t="shared" si="0"/>
        <v>#DIV/0!</v>
      </c>
    </row>
    <row r="57" spans="1:8" ht="15" hidden="1" customHeight="1">
      <c r="A57" s="296"/>
      <c r="B57" s="1927" t="s">
        <v>406</v>
      </c>
      <c r="C57" s="1927"/>
      <c r="D57" s="297" t="s">
        <v>407</v>
      </c>
      <c r="E57" s="298">
        <v>0</v>
      </c>
      <c r="F57" s="298"/>
      <c r="G57" s="298"/>
      <c r="H57" s="298" t="e">
        <f t="shared" si="0"/>
        <v>#DIV/0!</v>
      </c>
    </row>
    <row r="58" spans="1:8" s="295" customFormat="1" ht="15">
      <c r="A58" s="290"/>
      <c r="B58" s="291" t="s">
        <v>522</v>
      </c>
      <c r="C58" s="292"/>
      <c r="D58" s="293" t="s">
        <v>408</v>
      </c>
      <c r="E58" s="294">
        <v>9029</v>
      </c>
      <c r="F58" s="294">
        <v>12407</v>
      </c>
      <c r="G58" s="294">
        <v>12407</v>
      </c>
      <c r="H58" s="294">
        <f t="shared" si="0"/>
        <v>100</v>
      </c>
    </row>
    <row r="59" spans="1:8" ht="15" hidden="1" customHeight="1">
      <c r="A59" s="278"/>
      <c r="B59" s="1927" t="s">
        <v>409</v>
      </c>
      <c r="C59" s="1927"/>
      <c r="D59" s="297" t="s">
        <v>410</v>
      </c>
      <c r="E59" s="298"/>
      <c r="F59" s="298"/>
      <c r="G59" s="298"/>
      <c r="H59" s="298" t="e">
        <f t="shared" si="0"/>
        <v>#DIV/0!</v>
      </c>
    </row>
    <row r="60" spans="1:8" ht="15" hidden="1" customHeight="1">
      <c r="A60" s="278"/>
      <c r="B60" s="1927" t="s">
        <v>411</v>
      </c>
      <c r="C60" s="1927"/>
      <c r="D60" s="309" t="s">
        <v>412</v>
      </c>
      <c r="E60" s="298"/>
      <c r="F60" s="298"/>
      <c r="G60" s="298"/>
      <c r="H60" s="298" t="e">
        <f t="shared" si="0"/>
        <v>#DIV/0!</v>
      </c>
    </row>
    <row r="61" spans="1:8" ht="15" hidden="1" customHeight="1">
      <c r="A61" s="278"/>
      <c r="B61" s="1927" t="s">
        <v>413</v>
      </c>
      <c r="C61" s="1927"/>
      <c r="D61" s="309" t="s">
        <v>414</v>
      </c>
      <c r="E61" s="298"/>
      <c r="F61" s="298"/>
      <c r="G61" s="298"/>
      <c r="H61" s="298" t="e">
        <f t="shared" si="0"/>
        <v>#DIV/0!</v>
      </c>
    </row>
    <row r="62" spans="1:8" ht="16.5" hidden="1" customHeight="1">
      <c r="A62" s="278"/>
      <c r="B62" s="279"/>
      <c r="C62" s="306" t="s">
        <v>415</v>
      </c>
      <c r="D62" s="309" t="s">
        <v>416</v>
      </c>
      <c r="E62" s="298"/>
      <c r="F62" s="298"/>
      <c r="G62" s="298"/>
      <c r="H62" s="298" t="e">
        <f t="shared" si="0"/>
        <v>#DIV/0!</v>
      </c>
    </row>
    <row r="63" spans="1:8" ht="14.25" hidden="1" customHeight="1">
      <c r="A63" s="278"/>
      <c r="B63" s="279"/>
      <c r="C63" s="306" t="s">
        <v>417</v>
      </c>
      <c r="D63" s="309" t="s">
        <v>418</v>
      </c>
      <c r="E63" s="298"/>
      <c r="F63" s="298"/>
      <c r="G63" s="298"/>
      <c r="H63" s="298" t="e">
        <f t="shared" si="0"/>
        <v>#DIV/0!</v>
      </c>
    </row>
    <row r="64" spans="1:8" ht="14.25" hidden="1" customHeight="1">
      <c r="A64" s="278"/>
      <c r="B64" s="279"/>
      <c r="C64" s="306" t="s">
        <v>419</v>
      </c>
      <c r="D64" s="309" t="s">
        <v>420</v>
      </c>
      <c r="E64" s="298"/>
      <c r="F64" s="298"/>
      <c r="G64" s="298"/>
      <c r="H64" s="298" t="e">
        <f t="shared" si="0"/>
        <v>#DIV/0!</v>
      </c>
    </row>
    <row r="65" spans="1:8" ht="14.25" hidden="1" customHeight="1">
      <c r="A65" s="278"/>
      <c r="B65" s="1927" t="s">
        <v>421</v>
      </c>
      <c r="C65" s="1927"/>
      <c r="D65" s="309" t="s">
        <v>408</v>
      </c>
      <c r="E65" s="298"/>
      <c r="F65" s="298"/>
      <c r="G65" s="298"/>
      <c r="H65" s="298" t="e">
        <f t="shared" si="0"/>
        <v>#DIV/0!</v>
      </c>
    </row>
    <row r="66" spans="1:8" s="295" customFormat="1" ht="15" hidden="1">
      <c r="A66" s="290"/>
      <c r="B66" s="291" t="s">
        <v>422</v>
      </c>
      <c r="C66" s="292"/>
      <c r="D66" s="293" t="s">
        <v>423</v>
      </c>
      <c r="E66" s="294"/>
      <c r="F66" s="294"/>
      <c r="G66" s="294"/>
      <c r="H66" s="294" t="e">
        <f t="shared" si="0"/>
        <v>#DIV/0!</v>
      </c>
    </row>
    <row r="67" spans="1:8" ht="15" hidden="1" customHeight="1">
      <c r="A67" s="278"/>
      <c r="B67" s="1927" t="s">
        <v>424</v>
      </c>
      <c r="C67" s="1927"/>
      <c r="D67" s="297" t="s">
        <v>425</v>
      </c>
      <c r="E67" s="298"/>
      <c r="F67" s="298"/>
      <c r="G67" s="298"/>
      <c r="H67" s="298" t="e">
        <f t="shared" si="0"/>
        <v>#DIV/0!</v>
      </c>
    </row>
    <row r="68" spans="1:8" ht="15" hidden="1" customHeight="1">
      <c r="A68" s="278"/>
      <c r="B68" s="1928" t="s">
        <v>426</v>
      </c>
      <c r="C68" s="1928"/>
      <c r="D68" s="301" t="s">
        <v>427</v>
      </c>
      <c r="E68" s="302"/>
      <c r="F68" s="302"/>
      <c r="G68" s="302"/>
      <c r="H68" s="302" t="e">
        <f t="shared" si="0"/>
        <v>#DIV/0!</v>
      </c>
    </row>
    <row r="69" spans="1:8" s="295" customFormat="1" ht="15">
      <c r="A69" s="290"/>
      <c r="B69" s="291" t="s">
        <v>1771</v>
      </c>
      <c r="C69" s="292"/>
      <c r="D69" s="293" t="s">
        <v>1772</v>
      </c>
      <c r="E69" s="294"/>
      <c r="F69" s="294"/>
      <c r="G69" s="294"/>
      <c r="H69" s="294" t="e">
        <f t="shared" si="0"/>
        <v>#DIV/0!</v>
      </c>
    </row>
    <row r="70" spans="1:8" s="295" customFormat="1" ht="15">
      <c r="A70" s="290"/>
      <c r="B70" s="291" t="s">
        <v>1771</v>
      </c>
      <c r="C70" s="292"/>
      <c r="D70" s="293" t="s">
        <v>2060</v>
      </c>
      <c r="E70" s="294"/>
      <c r="F70" s="294">
        <v>9471</v>
      </c>
      <c r="G70" s="294">
        <v>9471</v>
      </c>
      <c r="H70" s="294"/>
    </row>
    <row r="71" spans="1:8" s="289" customFormat="1" ht="16.5">
      <c r="A71" s="284"/>
      <c r="B71" s="285" t="s">
        <v>108</v>
      </c>
      <c r="C71" s="286"/>
      <c r="D71" s="287" t="s">
        <v>1773</v>
      </c>
      <c r="E71" s="288">
        <f>E72+E82</f>
        <v>0</v>
      </c>
      <c r="F71" s="288">
        <f>F72+F73</f>
        <v>55880</v>
      </c>
      <c r="G71" s="288">
        <f>G72+G73</f>
        <v>61296</v>
      </c>
      <c r="H71" s="288">
        <f t="shared" si="0"/>
        <v>109.69219756621331</v>
      </c>
    </row>
    <row r="72" spans="1:8" s="295" customFormat="1" ht="15">
      <c r="A72" s="290"/>
      <c r="B72" s="291" t="s">
        <v>428</v>
      </c>
      <c r="C72" s="292"/>
      <c r="D72" s="293" t="s">
        <v>1775</v>
      </c>
      <c r="E72" s="294">
        <f>SUM(E73)</f>
        <v>0</v>
      </c>
      <c r="F72" s="294"/>
      <c r="G72" s="294"/>
      <c r="H72" s="294" t="e">
        <f t="shared" ref="H72:H139" si="1">G72/F72*100</f>
        <v>#DIV/0!</v>
      </c>
    </row>
    <row r="73" spans="1:8" s="295" customFormat="1" ht="15">
      <c r="A73" s="290"/>
      <c r="B73" s="291" t="s">
        <v>525</v>
      </c>
      <c r="C73" s="305"/>
      <c r="D73" s="293" t="s">
        <v>1774</v>
      </c>
      <c r="E73" s="302">
        <v>0</v>
      </c>
      <c r="F73" s="302">
        <f>SUM(F74:F81)</f>
        <v>55880</v>
      </c>
      <c r="G73" s="302">
        <f>SUM(G74:G81)</f>
        <v>61296</v>
      </c>
      <c r="H73" s="302">
        <f t="shared" ref="H73" si="2">G73/F73*100</f>
        <v>109.69219756621331</v>
      </c>
    </row>
    <row r="74" spans="1:8" s="295" customFormat="1" ht="15">
      <c r="A74" s="290"/>
      <c r="B74" s="291" t="s">
        <v>1881</v>
      </c>
      <c r="C74" s="305"/>
      <c r="D74" s="310" t="s">
        <v>431</v>
      </c>
      <c r="E74" s="298"/>
      <c r="F74" s="298">
        <v>41640</v>
      </c>
      <c r="G74" s="298">
        <v>41640</v>
      </c>
      <c r="H74" s="298">
        <f t="shared" si="1"/>
        <v>100</v>
      </c>
    </row>
    <row r="75" spans="1:8" s="295" customFormat="1" ht="15">
      <c r="A75" s="290"/>
      <c r="B75" s="291" t="s">
        <v>1882</v>
      </c>
      <c r="C75" s="305"/>
      <c r="D75" s="310" t="s">
        <v>430</v>
      </c>
      <c r="E75" s="298"/>
      <c r="F75" s="298">
        <v>176</v>
      </c>
      <c r="G75" s="298">
        <v>176</v>
      </c>
      <c r="H75" s="298">
        <f t="shared" si="1"/>
        <v>100</v>
      </c>
    </row>
    <row r="76" spans="1:8" s="295" customFormat="1" ht="15">
      <c r="A76" s="290"/>
      <c r="B76" s="291" t="s">
        <v>1883</v>
      </c>
      <c r="C76" s="305"/>
      <c r="D76" s="310" t="s">
        <v>1884</v>
      </c>
      <c r="E76" s="298"/>
      <c r="F76" s="298">
        <v>50</v>
      </c>
      <c r="G76" s="298">
        <v>50</v>
      </c>
      <c r="H76" s="298">
        <f t="shared" si="1"/>
        <v>100</v>
      </c>
    </row>
    <row r="77" spans="1:8" s="295" customFormat="1" ht="15">
      <c r="A77" s="290"/>
      <c r="B77" s="291" t="s">
        <v>1885</v>
      </c>
      <c r="C77" s="305"/>
      <c r="D77" s="310" t="s">
        <v>1886</v>
      </c>
      <c r="E77" s="298"/>
      <c r="F77" s="298">
        <v>14014</v>
      </c>
      <c r="G77" s="298">
        <v>16200</v>
      </c>
      <c r="H77" s="298">
        <f t="shared" si="1"/>
        <v>115.59868702725846</v>
      </c>
    </row>
    <row r="78" spans="1:8" s="295" customFormat="1" ht="15">
      <c r="A78" s="290"/>
      <c r="B78" s="291" t="s">
        <v>1887</v>
      </c>
      <c r="C78" s="305"/>
      <c r="D78" s="310" t="s">
        <v>1889</v>
      </c>
      <c r="E78" s="298"/>
      <c r="F78" s="298">
        <v>0</v>
      </c>
      <c r="G78" s="298">
        <v>3230</v>
      </c>
      <c r="H78" s="298" t="e">
        <f t="shared" si="1"/>
        <v>#DIV/0!</v>
      </c>
    </row>
    <row r="79" spans="1:8" s="295" customFormat="1" ht="15" hidden="1">
      <c r="A79" s="290"/>
      <c r="B79" s="291" t="s">
        <v>1888</v>
      </c>
      <c r="C79" s="305"/>
      <c r="D79" s="310" t="s">
        <v>1889</v>
      </c>
      <c r="E79" s="298"/>
      <c r="F79" s="298"/>
      <c r="G79" s="298"/>
      <c r="H79" s="298"/>
    </row>
    <row r="80" spans="1:8" s="295" customFormat="1" ht="15" hidden="1">
      <c r="A80" s="290"/>
      <c r="B80" s="291" t="s">
        <v>525</v>
      </c>
      <c r="C80" s="305"/>
      <c r="D80" s="310"/>
      <c r="E80" s="298"/>
      <c r="F80" s="298"/>
      <c r="G80" s="298"/>
      <c r="H80" s="298" t="e">
        <f t="shared" si="1"/>
        <v>#DIV/0!</v>
      </c>
    </row>
    <row r="81" spans="1:8" s="295" customFormat="1" ht="15" hidden="1">
      <c r="A81" s="290"/>
      <c r="B81" s="291" t="s">
        <v>525</v>
      </c>
      <c r="C81" s="305"/>
      <c r="D81" s="310"/>
      <c r="E81" s="298"/>
      <c r="F81" s="298"/>
      <c r="G81" s="298"/>
      <c r="H81" s="298" t="e">
        <f t="shared" si="1"/>
        <v>#DIV/0!</v>
      </c>
    </row>
    <row r="82" spans="1:8" s="295" customFormat="1" ht="15" hidden="1">
      <c r="A82" s="290"/>
      <c r="B82" s="291" t="s">
        <v>525</v>
      </c>
      <c r="C82" s="305"/>
      <c r="D82" s="293" t="s">
        <v>1774</v>
      </c>
      <c r="E82" s="302">
        <v>0</v>
      </c>
      <c r="F82" s="302"/>
      <c r="G82" s="302"/>
      <c r="H82" s="302" t="e">
        <f t="shared" si="1"/>
        <v>#DIV/0!</v>
      </c>
    </row>
    <row r="83" spans="1:8" s="289" customFormat="1" ht="16.5">
      <c r="A83" s="284"/>
      <c r="B83" s="285" t="s">
        <v>432</v>
      </c>
      <c r="C83" s="286"/>
      <c r="D83" s="287" t="s">
        <v>1877</v>
      </c>
      <c r="E83" s="288">
        <f>SUM(E84)</f>
        <v>0</v>
      </c>
      <c r="F83" s="288">
        <f>SUM(F84:F85)</f>
        <v>32208</v>
      </c>
      <c r="G83" s="288">
        <f>SUM(G84:G85)</f>
        <v>32208</v>
      </c>
      <c r="H83" s="288"/>
    </row>
    <row r="84" spans="1:8" s="295" customFormat="1" ht="15">
      <c r="A84" s="290"/>
      <c r="B84" s="291" t="s">
        <v>112</v>
      </c>
      <c r="C84" s="292"/>
      <c r="D84" s="293" t="s">
        <v>433</v>
      </c>
      <c r="E84" s="294"/>
      <c r="F84" s="294">
        <v>32208</v>
      </c>
      <c r="G84" s="294">
        <v>32208</v>
      </c>
      <c r="H84" s="294"/>
    </row>
    <row r="85" spans="1:8" s="295" customFormat="1" ht="15">
      <c r="A85" s="290"/>
      <c r="B85" s="291" t="s">
        <v>114</v>
      </c>
      <c r="C85" s="292"/>
      <c r="D85" s="293" t="s">
        <v>1895</v>
      </c>
      <c r="E85" s="294"/>
      <c r="F85" s="294">
        <v>0</v>
      </c>
      <c r="G85" s="294">
        <v>0</v>
      </c>
      <c r="H85" s="294"/>
    </row>
    <row r="86" spans="1:8" s="289" customFormat="1" ht="16.5">
      <c r="A86" s="284"/>
      <c r="B86" s="285" t="s">
        <v>434</v>
      </c>
      <c r="C86" s="286"/>
      <c r="D86" s="287" t="s">
        <v>435</v>
      </c>
      <c r="E86" s="288">
        <v>0</v>
      </c>
      <c r="F86" s="288">
        <v>0</v>
      </c>
      <c r="G86" s="288">
        <v>0</v>
      </c>
      <c r="H86" s="288"/>
    </row>
    <row r="87" spans="1:8" ht="19.5" customHeight="1">
      <c r="A87" s="1933" t="s">
        <v>436</v>
      </c>
      <c r="B87" s="1933"/>
      <c r="C87" s="1933"/>
      <c r="D87" s="1933"/>
      <c r="E87" s="311">
        <f>E4+E29+E47+E71+E83+E86</f>
        <v>2229349</v>
      </c>
      <c r="F87" s="311">
        <f>F4+F29+F47+F71+F83+F86+F70</f>
        <v>2563978</v>
      </c>
      <c r="G87" s="311">
        <f>G4+G29+G47+G71+G83+G86+G70</f>
        <v>2693302</v>
      </c>
      <c r="H87" s="311">
        <f t="shared" si="1"/>
        <v>105.04388103174051</v>
      </c>
    </row>
    <row r="88" spans="1:8" s="289" customFormat="1" ht="16.5">
      <c r="A88" s="284"/>
      <c r="B88" s="285" t="s">
        <v>437</v>
      </c>
      <c r="C88" s="286"/>
      <c r="D88" s="287" t="s">
        <v>438</v>
      </c>
      <c r="E88" s="288"/>
      <c r="F88" s="288">
        <v>205609</v>
      </c>
      <c r="G88" s="288">
        <v>205609</v>
      </c>
      <c r="H88" s="288">
        <f t="shared" si="1"/>
        <v>100</v>
      </c>
    </row>
    <row r="89" spans="1:8" s="289" customFormat="1" ht="31.5" customHeight="1">
      <c r="A89" s="284"/>
      <c r="B89" s="312" t="s">
        <v>439</v>
      </c>
      <c r="C89" s="286"/>
      <c r="D89" s="313" t="s">
        <v>440</v>
      </c>
      <c r="E89" s="288">
        <v>0</v>
      </c>
      <c r="F89" s="288">
        <v>0</v>
      </c>
      <c r="G89" s="288">
        <v>0</v>
      </c>
      <c r="H89" s="288"/>
    </row>
    <row r="90" spans="1:8" ht="19.5" customHeight="1">
      <c r="A90" s="1933" t="s">
        <v>441</v>
      </c>
      <c r="B90" s="1933" t="s">
        <v>442</v>
      </c>
      <c r="C90" s="1933"/>
      <c r="D90" s="1933" t="s">
        <v>443</v>
      </c>
      <c r="E90" s="311">
        <f>SUM(E88:E89)</f>
        <v>0</v>
      </c>
      <c r="F90" s="311">
        <f>SUM(F88:F89)</f>
        <v>205609</v>
      </c>
      <c r="G90" s="311">
        <f>SUM(G88:G89)</f>
        <v>205609</v>
      </c>
      <c r="H90" s="311">
        <f t="shared" si="1"/>
        <v>100</v>
      </c>
    </row>
    <row r="91" spans="1:8" ht="19.5" customHeight="1">
      <c r="A91" s="1933" t="s">
        <v>444</v>
      </c>
      <c r="B91" s="1933"/>
      <c r="C91" s="1933"/>
      <c r="D91" s="1933"/>
      <c r="E91" s="311">
        <f>E87+E90</f>
        <v>2229349</v>
      </c>
      <c r="F91" s="311">
        <f>F87+F90</f>
        <v>2769587</v>
      </c>
      <c r="G91" s="311">
        <f>G87+G90</f>
        <v>2898911</v>
      </c>
      <c r="H91" s="311">
        <f t="shared" si="1"/>
        <v>104.66943266270385</v>
      </c>
    </row>
    <row r="92" spans="1:8" s="289" customFormat="1" ht="16.5">
      <c r="A92" s="284"/>
      <c r="B92" s="285" t="s">
        <v>445</v>
      </c>
      <c r="C92" s="286"/>
      <c r="D92" s="287" t="s">
        <v>446</v>
      </c>
      <c r="E92" s="288">
        <f>E94</f>
        <v>0</v>
      </c>
      <c r="F92" s="288">
        <f>SUM(F93:F94)</f>
        <v>198462</v>
      </c>
      <c r="G92" s="288">
        <f>SUM(G93:G94)</f>
        <v>700743</v>
      </c>
      <c r="H92" s="288"/>
    </row>
    <row r="93" spans="1:8" s="295" customFormat="1" ht="15">
      <c r="A93" s="290"/>
      <c r="B93" s="291" t="s">
        <v>447</v>
      </c>
      <c r="C93" s="292"/>
      <c r="D93" s="293" t="s">
        <v>448</v>
      </c>
      <c r="E93" s="294"/>
      <c r="F93" s="294">
        <v>198462</v>
      </c>
      <c r="G93" s="294">
        <v>668352</v>
      </c>
      <c r="H93" s="294"/>
    </row>
    <row r="94" spans="1:8" s="295" customFormat="1" ht="15">
      <c r="A94" s="290"/>
      <c r="B94" s="291" t="s">
        <v>2022</v>
      </c>
      <c r="C94" s="292"/>
      <c r="D94" s="293" t="s">
        <v>2023</v>
      </c>
      <c r="E94" s="294"/>
      <c r="F94" s="294">
        <v>0</v>
      </c>
      <c r="G94" s="294">
        <v>32391</v>
      </c>
      <c r="H94" s="294"/>
    </row>
    <row r="95" spans="1:8" s="289" customFormat="1" ht="16.5">
      <c r="A95" s="284"/>
      <c r="B95" s="285" t="s">
        <v>449</v>
      </c>
      <c r="C95" s="286"/>
      <c r="D95" s="287" t="s">
        <v>450</v>
      </c>
      <c r="E95" s="288">
        <f>E96</f>
        <v>0</v>
      </c>
      <c r="F95" s="288">
        <f>F96</f>
        <v>0</v>
      </c>
      <c r="G95" s="288">
        <f>G96</f>
        <v>1404043</v>
      </c>
      <c r="H95" s="288"/>
    </row>
    <row r="96" spans="1:8" s="295" customFormat="1" ht="15">
      <c r="A96" s="314"/>
      <c r="B96" s="291" t="s">
        <v>451</v>
      </c>
      <c r="C96" s="292"/>
      <c r="D96" s="293" t="s">
        <v>452</v>
      </c>
      <c r="E96" s="294"/>
      <c r="F96" s="294"/>
      <c r="G96" s="294">
        <v>1404043</v>
      </c>
      <c r="H96" s="294"/>
    </row>
    <row r="97" spans="1:8" ht="19.5" customHeight="1">
      <c r="A97" s="1933" t="s">
        <v>453</v>
      </c>
      <c r="B97" s="1933"/>
      <c r="C97" s="1933"/>
      <c r="D97" s="1933"/>
      <c r="E97" s="311">
        <f>E92+E95</f>
        <v>0</v>
      </c>
      <c r="F97" s="311">
        <f>F92+F95</f>
        <v>198462</v>
      </c>
      <c r="G97" s="311">
        <f>G92+G95</f>
        <v>2104786</v>
      </c>
      <c r="H97" s="311"/>
    </row>
    <row r="98" spans="1:8" ht="19.5" customHeight="1">
      <c r="A98" s="1925" t="s">
        <v>454</v>
      </c>
      <c r="B98" s="1925"/>
      <c r="C98" s="1925"/>
      <c r="D98" s="1925"/>
      <c r="E98" s="283">
        <f>E91+E97</f>
        <v>2229349</v>
      </c>
      <c r="F98" s="283">
        <f>F91+F97</f>
        <v>2968049</v>
      </c>
      <c r="G98" s="283">
        <f>G91+G97</f>
        <v>5003697</v>
      </c>
      <c r="H98" s="283">
        <f t="shared" si="1"/>
        <v>168.58539060507425</v>
      </c>
    </row>
    <row r="99" spans="1:8" s="315" customFormat="1" ht="19.5" customHeight="1">
      <c r="A99" s="748"/>
      <c r="B99" s="749"/>
      <c r="C99" s="749"/>
      <c r="D99" s="749"/>
      <c r="E99" s="750"/>
      <c r="F99" s="750"/>
      <c r="G99" s="750"/>
      <c r="H99" s="750"/>
    </row>
    <row r="100" spans="1:8" ht="19.5" customHeight="1">
      <c r="A100" s="316" t="s">
        <v>455</v>
      </c>
      <c r="B100" s="317"/>
      <c r="C100" s="318"/>
      <c r="D100" s="319"/>
      <c r="E100" s="320"/>
      <c r="F100" s="320"/>
      <c r="G100" s="320"/>
      <c r="H100" s="320"/>
    </row>
    <row r="101" spans="1:8" s="289" customFormat="1" ht="16.5">
      <c r="A101" s="321"/>
      <c r="B101" s="285" t="s">
        <v>6</v>
      </c>
      <c r="C101" s="286"/>
      <c r="D101" s="287" t="s">
        <v>456</v>
      </c>
      <c r="E101" s="288">
        <f>E102+E120</f>
        <v>200000</v>
      </c>
      <c r="F101" s="288">
        <f>F102+F120+F107+F104</f>
        <v>9144</v>
      </c>
      <c r="G101" s="288">
        <f>G102+G120+G107+G104</f>
        <v>55239</v>
      </c>
      <c r="H101" s="288">
        <f t="shared" si="1"/>
        <v>604.10104986876638</v>
      </c>
    </row>
    <row r="102" spans="1:8" s="295" customFormat="1" ht="16.5">
      <c r="A102" s="290"/>
      <c r="B102" s="291" t="s">
        <v>457</v>
      </c>
      <c r="C102" s="292"/>
      <c r="D102" s="293" t="s">
        <v>458</v>
      </c>
      <c r="E102" s="294">
        <f>SUM(E103:E104)</f>
        <v>200000</v>
      </c>
      <c r="F102" s="294">
        <f>SUM(F103)</f>
        <v>3008</v>
      </c>
      <c r="G102" s="294">
        <f>SUM(G103)</f>
        <v>3008</v>
      </c>
      <c r="H102" s="288">
        <f t="shared" si="1"/>
        <v>100</v>
      </c>
    </row>
    <row r="103" spans="1:8" ht="15" customHeight="1">
      <c r="A103" s="278"/>
      <c r="B103" s="1934" t="s">
        <v>459</v>
      </c>
      <c r="C103" s="1935"/>
      <c r="D103" s="297" t="s">
        <v>2020</v>
      </c>
      <c r="E103" s="298">
        <v>200000</v>
      </c>
      <c r="F103" s="298">
        <v>3008</v>
      </c>
      <c r="G103" s="298">
        <v>3008</v>
      </c>
      <c r="H103" s="288">
        <f t="shared" si="1"/>
        <v>100</v>
      </c>
    </row>
    <row r="104" spans="1:8" s="295" customFormat="1" ht="16.5">
      <c r="A104" s="290"/>
      <c r="B104" s="291" t="s">
        <v>475</v>
      </c>
      <c r="C104" s="292"/>
      <c r="D104" s="293" t="s">
        <v>476</v>
      </c>
      <c r="E104" s="294">
        <f>E106</f>
        <v>0</v>
      </c>
      <c r="F104" s="294">
        <f>SUM(F105:F106)</f>
        <v>1136</v>
      </c>
      <c r="G104" s="294">
        <f>SUM(G105:G106)</f>
        <v>1136</v>
      </c>
      <c r="H104" s="288"/>
    </row>
    <row r="105" spans="1:8" ht="15" customHeight="1">
      <c r="A105" s="278"/>
      <c r="B105" s="1927" t="s">
        <v>477</v>
      </c>
      <c r="C105" s="1927"/>
      <c r="D105" s="297" t="s">
        <v>478</v>
      </c>
      <c r="E105" s="298"/>
      <c r="F105" s="298">
        <v>136</v>
      </c>
      <c r="G105" s="298">
        <v>136</v>
      </c>
      <c r="H105" s="288"/>
    </row>
    <row r="106" spans="1:8" ht="15" customHeight="1">
      <c r="A106" s="278"/>
      <c r="B106" s="1927" t="s">
        <v>2024</v>
      </c>
      <c r="C106" s="1927"/>
      <c r="D106" s="297" t="s">
        <v>2025</v>
      </c>
      <c r="E106" s="298"/>
      <c r="F106" s="298">
        <v>1000</v>
      </c>
      <c r="G106" s="298">
        <v>1000</v>
      </c>
      <c r="H106" s="288"/>
    </row>
    <row r="107" spans="1:8" s="295" customFormat="1" ht="16.5">
      <c r="A107" s="290"/>
      <c r="B107" s="291" t="s">
        <v>415</v>
      </c>
      <c r="C107" s="292"/>
      <c r="D107" s="293" t="s">
        <v>2021</v>
      </c>
      <c r="E107" s="294">
        <f>SUM(E108)</f>
        <v>0</v>
      </c>
      <c r="F107" s="294">
        <f t="shared" ref="F107:G107" si="3">SUM(F108)</f>
        <v>5000</v>
      </c>
      <c r="G107" s="294">
        <f t="shared" si="3"/>
        <v>51095</v>
      </c>
      <c r="H107" s="288">
        <f t="shared" ref="H107:H108" si="4">G107/F107*100</f>
        <v>1021.9</v>
      </c>
    </row>
    <row r="108" spans="1:8" ht="15" customHeight="1">
      <c r="A108" s="278"/>
      <c r="B108" s="1934" t="s">
        <v>740</v>
      </c>
      <c r="C108" s="1935"/>
      <c r="D108" s="297" t="s">
        <v>2021</v>
      </c>
      <c r="E108" s="298"/>
      <c r="F108" s="298">
        <v>5000</v>
      </c>
      <c r="G108" s="298">
        <v>51095</v>
      </c>
      <c r="H108" s="288">
        <f t="shared" si="4"/>
        <v>1021.9</v>
      </c>
    </row>
    <row r="109" spans="1:8" ht="12" hidden="1" customHeight="1">
      <c r="A109" s="278"/>
      <c r="B109" s="279"/>
      <c r="C109" s="306" t="s">
        <v>460</v>
      </c>
      <c r="D109" s="297" t="s">
        <v>461</v>
      </c>
      <c r="E109" s="298"/>
      <c r="F109" s="298"/>
      <c r="G109" s="298"/>
      <c r="H109" s="288" t="e">
        <f t="shared" si="1"/>
        <v>#DIV/0!</v>
      </c>
    </row>
    <row r="110" spans="1:8" ht="15" hidden="1" customHeight="1">
      <c r="A110" s="278"/>
      <c r="B110" s="279"/>
      <c r="C110" s="306" t="s">
        <v>462</v>
      </c>
      <c r="D110" s="297" t="s">
        <v>348</v>
      </c>
      <c r="E110" s="298"/>
      <c r="F110" s="298"/>
      <c r="G110" s="298"/>
      <c r="H110" s="288" t="e">
        <f t="shared" si="1"/>
        <v>#DIV/0!</v>
      </c>
    </row>
    <row r="111" spans="1:8" ht="15" hidden="1" customHeight="1">
      <c r="A111" s="278"/>
      <c r="B111" s="279"/>
      <c r="C111" s="306" t="s">
        <v>463</v>
      </c>
      <c r="D111" s="297" t="s">
        <v>350</v>
      </c>
      <c r="E111" s="298"/>
      <c r="F111" s="298"/>
      <c r="G111" s="298"/>
      <c r="H111" s="288" t="e">
        <f t="shared" si="1"/>
        <v>#DIV/0!</v>
      </c>
    </row>
    <row r="112" spans="1:8" ht="15" hidden="1" customHeight="1">
      <c r="A112" s="278"/>
      <c r="B112" s="279"/>
      <c r="C112" s="306" t="s">
        <v>464</v>
      </c>
      <c r="D112" s="297" t="s">
        <v>329</v>
      </c>
      <c r="E112" s="298"/>
      <c r="F112" s="298"/>
      <c r="G112" s="298"/>
      <c r="H112" s="288" t="e">
        <f t="shared" si="1"/>
        <v>#DIV/0!</v>
      </c>
    </row>
    <row r="113" spans="1:8" ht="15" hidden="1" customHeight="1">
      <c r="A113" s="278"/>
      <c r="B113" s="279"/>
      <c r="C113" s="305" t="s">
        <v>465</v>
      </c>
      <c r="D113" s="301" t="s">
        <v>331</v>
      </c>
      <c r="E113" s="302"/>
      <c r="F113" s="302"/>
      <c r="G113" s="302"/>
      <c r="H113" s="288" t="e">
        <f t="shared" si="1"/>
        <v>#DIV/0!</v>
      </c>
    </row>
    <row r="114" spans="1:8" ht="15" hidden="1" customHeight="1">
      <c r="A114" s="278"/>
      <c r="B114" s="279"/>
      <c r="C114" s="305" t="s">
        <v>466</v>
      </c>
      <c r="D114" s="301" t="s">
        <v>467</v>
      </c>
      <c r="E114" s="302"/>
      <c r="F114" s="302"/>
      <c r="G114" s="302"/>
      <c r="H114" s="288" t="e">
        <f t="shared" si="1"/>
        <v>#DIV/0!</v>
      </c>
    </row>
    <row r="115" spans="1:8" ht="15" hidden="1" customHeight="1">
      <c r="A115" s="278"/>
      <c r="B115" s="279"/>
      <c r="C115" s="305" t="s">
        <v>468</v>
      </c>
      <c r="D115" s="301" t="s">
        <v>333</v>
      </c>
      <c r="E115" s="302"/>
      <c r="F115" s="302"/>
      <c r="G115" s="302"/>
      <c r="H115" s="288" t="e">
        <f t="shared" si="1"/>
        <v>#DIV/0!</v>
      </c>
    </row>
    <row r="116" spans="1:8" ht="15" hidden="1" customHeight="1">
      <c r="A116" s="278"/>
      <c r="B116" s="279"/>
      <c r="C116" s="305" t="s">
        <v>469</v>
      </c>
      <c r="D116" s="301" t="s">
        <v>335</v>
      </c>
      <c r="E116" s="302"/>
      <c r="F116" s="302"/>
      <c r="G116" s="302"/>
      <c r="H116" s="288" t="e">
        <f t="shared" si="1"/>
        <v>#DIV/0!</v>
      </c>
    </row>
    <row r="117" spans="1:8" ht="15" hidden="1" customHeight="1">
      <c r="A117" s="278"/>
      <c r="B117" s="279"/>
      <c r="C117" s="305" t="s">
        <v>470</v>
      </c>
      <c r="D117" s="301" t="s">
        <v>337</v>
      </c>
      <c r="E117" s="302"/>
      <c r="F117" s="302"/>
      <c r="G117" s="302"/>
      <c r="H117" s="288" t="e">
        <f t="shared" si="1"/>
        <v>#DIV/0!</v>
      </c>
    </row>
    <row r="118" spans="1:8" ht="15" hidden="1" customHeight="1">
      <c r="A118" s="278"/>
      <c r="B118" s="279"/>
      <c r="C118" s="305" t="s">
        <v>471</v>
      </c>
      <c r="D118" s="301" t="s">
        <v>472</v>
      </c>
      <c r="E118" s="302"/>
      <c r="F118" s="302"/>
      <c r="G118" s="302"/>
      <c r="H118" s="288" t="e">
        <f t="shared" si="1"/>
        <v>#DIV/0!</v>
      </c>
    </row>
    <row r="119" spans="1:8" ht="15" hidden="1" customHeight="1">
      <c r="A119" s="278"/>
      <c r="B119" s="279"/>
      <c r="C119" s="306" t="s">
        <v>473</v>
      </c>
      <c r="D119" s="297" t="s">
        <v>474</v>
      </c>
      <c r="E119" s="298"/>
      <c r="F119" s="298"/>
      <c r="G119" s="298"/>
      <c r="H119" s="288" t="e">
        <f t="shared" si="1"/>
        <v>#DIV/0!</v>
      </c>
    </row>
    <row r="120" spans="1:8" s="295" customFormat="1" ht="16.5" hidden="1">
      <c r="A120" s="290"/>
      <c r="B120" s="291" t="s">
        <v>475</v>
      </c>
      <c r="C120" s="292"/>
      <c r="D120" s="293" t="s">
        <v>476</v>
      </c>
      <c r="E120" s="294">
        <f>E121</f>
        <v>0</v>
      </c>
      <c r="F120" s="294">
        <f>F121</f>
        <v>0</v>
      </c>
      <c r="G120" s="294">
        <f>G121</f>
        <v>0</v>
      </c>
      <c r="H120" s="288"/>
    </row>
    <row r="121" spans="1:8" ht="15" hidden="1" customHeight="1">
      <c r="A121" s="278"/>
      <c r="B121" s="1927" t="s">
        <v>477</v>
      </c>
      <c r="C121" s="1927"/>
      <c r="D121" s="297" t="s">
        <v>478</v>
      </c>
      <c r="E121" s="298"/>
      <c r="F121" s="298"/>
      <c r="G121" s="298"/>
      <c r="H121" s="288"/>
    </row>
    <row r="122" spans="1:8" s="289" customFormat="1" ht="16.5">
      <c r="A122" s="321"/>
      <c r="B122" s="285" t="s">
        <v>8</v>
      </c>
      <c r="C122" s="286"/>
      <c r="D122" s="287" t="s">
        <v>1684</v>
      </c>
      <c r="E122" s="288">
        <f>SUM(E124)</f>
        <v>157195</v>
      </c>
      <c r="F122" s="288">
        <f>SUM(F123+F124+F130)</f>
        <v>942</v>
      </c>
      <c r="G122" s="288">
        <f>SUM(G123:G124)</f>
        <v>942</v>
      </c>
      <c r="H122" s="288">
        <f t="shared" si="1"/>
        <v>100</v>
      </c>
    </row>
    <row r="123" spans="1:8" s="295" customFormat="1" ht="16.5">
      <c r="A123" s="290"/>
      <c r="B123" s="291" t="s">
        <v>479</v>
      </c>
      <c r="C123" s="292"/>
      <c r="D123" s="293" t="s">
        <v>1778</v>
      </c>
      <c r="E123" s="294"/>
      <c r="F123" s="294">
        <v>942</v>
      </c>
      <c r="G123" s="294">
        <v>942</v>
      </c>
      <c r="H123" s="288">
        <f t="shared" si="1"/>
        <v>100</v>
      </c>
    </row>
    <row r="124" spans="1:8" s="295" customFormat="1" ht="16.5">
      <c r="A124" s="290"/>
      <c r="B124" s="291" t="s">
        <v>874</v>
      </c>
      <c r="C124" s="292"/>
      <c r="D124" s="293" t="s">
        <v>1624</v>
      </c>
      <c r="E124" s="294">
        <v>157195</v>
      </c>
      <c r="F124" s="294">
        <v>0</v>
      </c>
      <c r="G124" s="294">
        <v>0</v>
      </c>
      <c r="H124" s="288" t="e">
        <f t="shared" si="1"/>
        <v>#DIV/0!</v>
      </c>
    </row>
    <row r="125" spans="1:8" s="289" customFormat="1" ht="16.5">
      <c r="A125" s="321"/>
      <c r="B125" s="285" t="s">
        <v>10</v>
      </c>
      <c r="C125" s="286"/>
      <c r="D125" s="287" t="s">
        <v>1891</v>
      </c>
      <c r="E125" s="288">
        <f>SUM(E126)</f>
        <v>500</v>
      </c>
      <c r="F125" s="288">
        <f>SUM(F126+F130)</f>
        <v>448926</v>
      </c>
      <c r="G125" s="288">
        <f>SUM(G126+G130)</f>
        <v>453174</v>
      </c>
      <c r="H125" s="288">
        <f t="shared" si="1"/>
        <v>100.94625840338942</v>
      </c>
    </row>
    <row r="126" spans="1:8" ht="15" customHeight="1">
      <c r="A126" s="290"/>
      <c r="B126" s="291" t="s">
        <v>480</v>
      </c>
      <c r="C126" s="292"/>
      <c r="D126" s="293" t="s">
        <v>481</v>
      </c>
      <c r="E126" s="294">
        <f>SUM(E127:E129)</f>
        <v>500</v>
      </c>
      <c r="F126" s="294">
        <f>SUM(F127:F129)</f>
        <v>448926</v>
      </c>
      <c r="G126" s="294">
        <f>SUM(G127:G129)</f>
        <v>453174</v>
      </c>
      <c r="H126" s="294">
        <f t="shared" si="1"/>
        <v>100.94625840338942</v>
      </c>
    </row>
    <row r="127" spans="1:8" ht="15" customHeight="1">
      <c r="A127" s="296"/>
      <c r="B127" s="307" t="s">
        <v>482</v>
      </c>
      <c r="C127" s="300"/>
      <c r="D127" s="297" t="s">
        <v>483</v>
      </c>
      <c r="E127" s="298">
        <v>500</v>
      </c>
      <c r="F127" s="298">
        <v>500</v>
      </c>
      <c r="G127" s="298">
        <v>4748</v>
      </c>
      <c r="H127" s="298">
        <f t="shared" si="1"/>
        <v>949.6</v>
      </c>
    </row>
    <row r="128" spans="1:8" ht="15" customHeight="1">
      <c r="A128" s="278"/>
      <c r="B128" s="1927" t="s">
        <v>484</v>
      </c>
      <c r="C128" s="1927"/>
      <c r="D128" s="297" t="s">
        <v>485</v>
      </c>
      <c r="E128" s="298"/>
      <c r="F128" s="298">
        <v>446426</v>
      </c>
      <c r="G128" s="298">
        <v>446426</v>
      </c>
      <c r="H128" s="298"/>
    </row>
    <row r="129" spans="1:12" ht="15" customHeight="1">
      <c r="A129" s="278"/>
      <c r="B129" s="1927" t="s">
        <v>1776</v>
      </c>
      <c r="C129" s="1927"/>
      <c r="D129" s="297" t="s">
        <v>1777</v>
      </c>
      <c r="E129" s="298"/>
      <c r="F129" s="298">
        <v>2000</v>
      </c>
      <c r="G129" s="298">
        <v>2000</v>
      </c>
      <c r="H129" s="298">
        <f t="shared" si="1"/>
        <v>100</v>
      </c>
    </row>
    <row r="130" spans="1:12" ht="15" customHeight="1">
      <c r="A130" s="290"/>
      <c r="B130" s="291" t="s">
        <v>728</v>
      </c>
      <c r="C130" s="292"/>
      <c r="D130" s="293" t="s">
        <v>1892</v>
      </c>
      <c r="E130" s="294"/>
      <c r="F130" s="294">
        <v>0</v>
      </c>
      <c r="G130" s="294">
        <v>0</v>
      </c>
      <c r="H130" s="298" t="e">
        <f t="shared" si="1"/>
        <v>#DIV/0!</v>
      </c>
    </row>
    <row r="131" spans="1:12" ht="15" customHeight="1">
      <c r="A131" s="290"/>
      <c r="B131" s="285" t="s">
        <v>12</v>
      </c>
      <c r="C131" s="286"/>
      <c r="D131" s="287" t="s">
        <v>486</v>
      </c>
      <c r="E131" s="288">
        <f>SUM(E132)</f>
        <v>500</v>
      </c>
      <c r="F131" s="288">
        <f>SUM(F132)</f>
        <v>500</v>
      </c>
      <c r="G131" s="288">
        <f>SUM(G132)</f>
        <v>3301</v>
      </c>
      <c r="H131" s="288">
        <f t="shared" si="1"/>
        <v>660.2</v>
      </c>
    </row>
    <row r="132" spans="1:12" ht="15" customHeight="1">
      <c r="A132" s="278"/>
      <c r="B132" s="291" t="s">
        <v>487</v>
      </c>
      <c r="C132" s="292"/>
      <c r="D132" s="293" t="s">
        <v>1876</v>
      </c>
      <c r="E132" s="294">
        <v>500</v>
      </c>
      <c r="F132" s="294">
        <v>500</v>
      </c>
      <c r="G132" s="294">
        <v>3301</v>
      </c>
      <c r="H132" s="294">
        <f t="shared" si="1"/>
        <v>660.2</v>
      </c>
    </row>
    <row r="133" spans="1:12" s="289" customFormat="1" ht="16.5" hidden="1">
      <c r="A133" s="321"/>
      <c r="B133" s="285" t="s">
        <v>14</v>
      </c>
      <c r="C133" s="286"/>
      <c r="D133" s="287" t="s">
        <v>1878</v>
      </c>
      <c r="E133" s="288">
        <f>SUM(E134)</f>
        <v>0</v>
      </c>
      <c r="F133" s="288">
        <f t="shared" ref="F133:G133" si="5">SUM(F134)</f>
        <v>0</v>
      </c>
      <c r="G133" s="288">
        <f t="shared" si="5"/>
        <v>0</v>
      </c>
      <c r="H133" s="288" t="e">
        <f t="shared" si="1"/>
        <v>#DIV/0!</v>
      </c>
    </row>
    <row r="134" spans="1:12" s="295" customFormat="1" ht="15" hidden="1">
      <c r="A134" s="290"/>
      <c r="B134" s="291" t="s">
        <v>740</v>
      </c>
      <c r="C134" s="292"/>
      <c r="D134" s="293" t="s">
        <v>1879</v>
      </c>
      <c r="E134" s="294"/>
      <c r="F134" s="294"/>
      <c r="G134" s="294">
        <v>0</v>
      </c>
      <c r="H134" s="294" t="e">
        <f t="shared" si="1"/>
        <v>#DIV/0!</v>
      </c>
    </row>
    <row r="135" spans="1:12" ht="19.5" customHeight="1">
      <c r="A135" s="1933" t="s">
        <v>488</v>
      </c>
      <c r="B135" s="1933"/>
      <c r="C135" s="1933"/>
      <c r="D135" s="1933" t="s">
        <v>489</v>
      </c>
      <c r="E135" s="311">
        <f>E101+E122+E125+E133+E131</f>
        <v>358195</v>
      </c>
      <c r="F135" s="311">
        <f>F101+F122+F125+F133+F131</f>
        <v>459512</v>
      </c>
      <c r="G135" s="311">
        <f>G101+G122+G125+G133+G131</f>
        <v>512656</v>
      </c>
      <c r="H135" s="311">
        <f t="shared" si="1"/>
        <v>111.56531276658717</v>
      </c>
    </row>
    <row r="136" spans="1:12" ht="16.5">
      <c r="A136" s="284"/>
      <c r="B136" s="285" t="s">
        <v>12</v>
      </c>
      <c r="C136" s="286"/>
      <c r="D136" s="287" t="s">
        <v>490</v>
      </c>
      <c r="E136" s="288"/>
      <c r="F136" s="288">
        <v>407700</v>
      </c>
      <c r="G136" s="288">
        <v>407700</v>
      </c>
      <c r="H136" s="288">
        <f t="shared" si="1"/>
        <v>100</v>
      </c>
      <c r="K136" s="322"/>
      <c r="L136" s="322"/>
    </row>
    <row r="137" spans="1:12" s="289" customFormat="1" ht="33">
      <c r="A137" s="284"/>
      <c r="B137" s="312" t="s">
        <v>14</v>
      </c>
      <c r="C137" s="286"/>
      <c r="D137" s="313" t="s">
        <v>491</v>
      </c>
      <c r="E137" s="288"/>
      <c r="F137" s="288">
        <v>0</v>
      </c>
      <c r="G137" s="288">
        <v>0</v>
      </c>
      <c r="H137" s="288"/>
    </row>
    <row r="138" spans="1:12" ht="19.5" customHeight="1">
      <c r="A138" s="1933" t="s">
        <v>492</v>
      </c>
      <c r="B138" s="1933" t="s">
        <v>442</v>
      </c>
      <c r="C138" s="1933"/>
      <c r="D138" s="1933" t="s">
        <v>443</v>
      </c>
      <c r="E138" s="311">
        <f>SUM(E136:E137)</f>
        <v>0</v>
      </c>
      <c r="F138" s="311">
        <f>SUM(F136:F137)</f>
        <v>407700</v>
      </c>
      <c r="G138" s="311">
        <f>SUM(G136:G137)</f>
        <v>407700</v>
      </c>
      <c r="H138" s="311">
        <f t="shared" si="1"/>
        <v>100</v>
      </c>
    </row>
    <row r="139" spans="1:12" ht="19.5" customHeight="1">
      <c r="A139" s="1933" t="s">
        <v>493</v>
      </c>
      <c r="B139" s="1933"/>
      <c r="C139" s="1933"/>
      <c r="D139" s="1933"/>
      <c r="E139" s="311">
        <f>E135+E138</f>
        <v>358195</v>
      </c>
      <c r="F139" s="311">
        <f>F135+F138</f>
        <v>867212</v>
      </c>
      <c r="G139" s="311">
        <f>G135+G138</f>
        <v>920356</v>
      </c>
      <c r="H139" s="311">
        <f t="shared" si="1"/>
        <v>106.12814398324745</v>
      </c>
    </row>
    <row r="140" spans="1:12" s="289" customFormat="1" ht="16.5">
      <c r="A140" s="284"/>
      <c r="B140" s="285" t="s">
        <v>494</v>
      </c>
      <c r="C140" s="286"/>
      <c r="D140" s="287" t="s">
        <v>495</v>
      </c>
      <c r="E140" s="288">
        <f>E141+E142</f>
        <v>0</v>
      </c>
      <c r="F140" s="288">
        <f>F141+F142</f>
        <v>0</v>
      </c>
      <c r="G140" s="288">
        <f>G141+G142</f>
        <v>0</v>
      </c>
      <c r="H140" s="288"/>
    </row>
    <row r="141" spans="1:12" s="295" customFormat="1" ht="15">
      <c r="A141" s="290"/>
      <c r="B141" s="291" t="s">
        <v>496</v>
      </c>
      <c r="C141" s="292"/>
      <c r="D141" s="293" t="s">
        <v>497</v>
      </c>
      <c r="E141" s="294"/>
      <c r="F141" s="294"/>
      <c r="G141" s="294"/>
      <c r="H141" s="294"/>
    </row>
    <row r="142" spans="1:12" s="295" customFormat="1" ht="15">
      <c r="A142" s="290"/>
      <c r="B142" s="291" t="s">
        <v>498</v>
      </c>
      <c r="C142" s="292"/>
      <c r="D142" s="293" t="s">
        <v>499</v>
      </c>
      <c r="E142" s="294">
        <v>0</v>
      </c>
      <c r="F142" s="294">
        <v>0</v>
      </c>
      <c r="G142" s="294">
        <v>0</v>
      </c>
      <c r="H142" s="294"/>
    </row>
    <row r="143" spans="1:12" ht="19.5" customHeight="1">
      <c r="A143" s="1933" t="s">
        <v>500</v>
      </c>
      <c r="B143" s="1933"/>
      <c r="C143" s="1933"/>
      <c r="D143" s="1933"/>
      <c r="E143" s="311">
        <f>E140</f>
        <v>0</v>
      </c>
      <c r="F143" s="311">
        <f>F140</f>
        <v>0</v>
      </c>
      <c r="G143" s="311">
        <f>G140</f>
        <v>0</v>
      </c>
      <c r="H143" s="311"/>
    </row>
    <row r="144" spans="1:12" ht="19.5" customHeight="1">
      <c r="A144" s="1925" t="s">
        <v>501</v>
      </c>
      <c r="B144" s="1925"/>
      <c r="C144" s="1925"/>
      <c r="D144" s="1925"/>
      <c r="E144" s="283">
        <f>E143+E139</f>
        <v>358195</v>
      </c>
      <c r="F144" s="283">
        <f>F143+F139</f>
        <v>867212</v>
      </c>
      <c r="G144" s="283">
        <f>G143+G139</f>
        <v>920356</v>
      </c>
      <c r="H144" s="283">
        <f>G144/F144*100</f>
        <v>106.12814398324745</v>
      </c>
    </row>
    <row r="145" spans="1:8" s="289" customFormat="1" ht="16.5">
      <c r="A145" s="321"/>
      <c r="B145" s="285"/>
      <c r="C145" s="286"/>
      <c r="D145" s="287" t="s">
        <v>502</v>
      </c>
      <c r="E145" s="288"/>
      <c r="F145" s="288"/>
      <c r="G145" s="288">
        <v>10346</v>
      </c>
      <c r="H145" s="288"/>
    </row>
    <row r="146" spans="1:8" ht="21.75" customHeight="1">
      <c r="A146" s="323" t="s">
        <v>503</v>
      </c>
      <c r="B146" s="324"/>
      <c r="C146" s="325"/>
      <c r="D146" s="326"/>
      <c r="E146" s="327">
        <f>E144+E98</f>
        <v>2587544</v>
      </c>
      <c r="F146" s="327">
        <f>F144+F98</f>
        <v>3835261</v>
      </c>
      <c r="G146" s="327">
        <f>G144+G98</f>
        <v>5924053</v>
      </c>
      <c r="H146" s="327">
        <f>G146/F146*100</f>
        <v>154.4628383830983</v>
      </c>
    </row>
    <row r="147" spans="1:8" ht="21.75" customHeight="1">
      <c r="A147" s="1937" t="s">
        <v>504</v>
      </c>
      <c r="B147" s="1937"/>
      <c r="C147" s="1937"/>
      <c r="D147" s="1937"/>
      <c r="E147" s="328">
        <v>0</v>
      </c>
      <c r="F147" s="328">
        <v>0</v>
      </c>
      <c r="G147" s="328">
        <v>0</v>
      </c>
      <c r="H147" s="328"/>
    </row>
    <row r="148" spans="1:8" s="289" customFormat="1" ht="28.5" customHeight="1">
      <c r="A148" s="1936" t="s">
        <v>505</v>
      </c>
      <c r="B148" s="1936"/>
      <c r="C148" s="1936"/>
      <c r="D148" s="1936"/>
      <c r="E148" s="329">
        <f>SUM(E146+E147)+E145</f>
        <v>2587544</v>
      </c>
      <c r="F148" s="329">
        <f>SUM(F146+F147)+F145</f>
        <v>3835261</v>
      </c>
      <c r="G148" s="329">
        <f>SUM(G146+G147)+G145</f>
        <v>5934399</v>
      </c>
      <c r="H148" s="329">
        <f>G148/F148*100</f>
        <v>154.73259838117929</v>
      </c>
    </row>
  </sheetData>
  <sheetProtection selectLockedCells="1" selectUnlockedCells="1"/>
  <mergeCells count="60">
    <mergeCell ref="A148:D148"/>
    <mergeCell ref="A135:D135"/>
    <mergeCell ref="A138:D138"/>
    <mergeCell ref="A139:D139"/>
    <mergeCell ref="A143:D143"/>
    <mergeCell ref="A144:D144"/>
    <mergeCell ref="A147:D147"/>
    <mergeCell ref="B103:C103"/>
    <mergeCell ref="B121:C121"/>
    <mergeCell ref="B128:C128"/>
    <mergeCell ref="B129:C129"/>
    <mergeCell ref="B106:C106"/>
    <mergeCell ref="B108:C108"/>
    <mergeCell ref="B105:C105"/>
    <mergeCell ref="A87:D87"/>
    <mergeCell ref="A90:D90"/>
    <mergeCell ref="A91:D91"/>
    <mergeCell ref="A97:D97"/>
    <mergeCell ref="A98:D98"/>
    <mergeCell ref="B60:C60"/>
    <mergeCell ref="B61:C61"/>
    <mergeCell ref="B65:C65"/>
    <mergeCell ref="B67:C67"/>
    <mergeCell ref="B68:C68"/>
    <mergeCell ref="B54:C54"/>
    <mergeCell ref="B55:C55"/>
    <mergeCell ref="B56:C56"/>
    <mergeCell ref="B57:C57"/>
    <mergeCell ref="B59:C59"/>
    <mergeCell ref="B41:C41"/>
    <mergeCell ref="B50:C50"/>
    <mergeCell ref="B51:C51"/>
    <mergeCell ref="B52:C52"/>
    <mergeCell ref="B53:C53"/>
    <mergeCell ref="B35:C35"/>
    <mergeCell ref="B36:C36"/>
    <mergeCell ref="B38:C38"/>
    <mergeCell ref="B39:C39"/>
    <mergeCell ref="B40:C40"/>
    <mergeCell ref="B32:C32"/>
    <mergeCell ref="B33:C33"/>
    <mergeCell ref="B34:C34"/>
    <mergeCell ref="B21:C21"/>
    <mergeCell ref="B22:C22"/>
    <mergeCell ref="B23:C23"/>
    <mergeCell ref="B17:C17"/>
    <mergeCell ref="B18:C18"/>
    <mergeCell ref="B19:C19"/>
    <mergeCell ref="B20:C20"/>
    <mergeCell ref="B31:C31"/>
    <mergeCell ref="B10:C10"/>
    <mergeCell ref="B11:C11"/>
    <mergeCell ref="B12:C12"/>
    <mergeCell ref="B13:C13"/>
    <mergeCell ref="B14:C14"/>
    <mergeCell ref="A1:C1"/>
    <mergeCell ref="A3:D3"/>
    <mergeCell ref="B6:C6"/>
    <mergeCell ref="B8:C8"/>
    <mergeCell ref="B9:C9"/>
  </mergeCells>
  <printOptions horizontalCentered="1"/>
  <pageMargins left="0.19685039370078741" right="0" top="0.94488188976377963" bottom="0.59055118110236227" header="0.31496062992125984" footer="0.11811023622047245"/>
  <pageSetup paperSize="9" scale="85" firstPageNumber="43" orientation="portrait" r:id="rId1"/>
  <headerFooter alignWithMargins="0">
    <oddHeader>&amp;C&amp;"Times New Roman,Félkövér"&amp;14Vecsés Város Önkormányzat 2013. évi bevételei forrásonként&amp;R&amp;"Times New Roman,Normál"&amp;12 3.1. sz. melléklet
Ezer Ft</oddHeader>
    <oddFooter>&amp;C- &amp;P -</oddFooter>
  </headerFooter>
  <rowBreaks count="2" manualBreakCount="2">
    <brk id="46" max="16383" man="1"/>
    <brk id="98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0"/>
  <sheetViews>
    <sheetView view="pageBreakPreview" topLeftCell="A150" zoomScaleSheetLayoutView="100" workbookViewId="0">
      <selection activeCell="G155" sqref="G155"/>
    </sheetView>
  </sheetViews>
  <sheetFormatPr defaultRowHeight="12.75"/>
  <cols>
    <col min="1" max="1" width="2.5" style="274" customWidth="1"/>
    <col min="2" max="2" width="3" style="275" customWidth="1"/>
    <col min="3" max="3" width="8.83203125" style="275" customWidth="1"/>
    <col min="4" max="4" width="63.83203125" style="274" customWidth="1"/>
    <col min="5" max="5" width="13.5" style="274" customWidth="1"/>
    <col min="6" max="6" width="15.1640625" style="274" customWidth="1"/>
    <col min="7" max="7" width="14.83203125" style="274" customWidth="1"/>
    <col min="8" max="8" width="6.83203125" style="274" customWidth="1"/>
    <col min="9" max="10" width="10.6640625" style="274" bestFit="1" customWidth="1"/>
    <col min="11" max="11" width="9.33203125" style="322"/>
    <col min="12" max="15" width="9.33203125" style="274"/>
    <col min="16" max="16" width="15.83203125" style="274" customWidth="1"/>
    <col min="17" max="17" width="20.33203125" style="274" customWidth="1"/>
    <col min="18" max="18" width="10.5" style="274" customWidth="1"/>
    <col min="19" max="16384" width="9.33203125" style="274"/>
  </cols>
  <sheetData>
    <row r="1" spans="1:12" ht="48" customHeight="1">
      <c r="A1" s="1938" t="s">
        <v>318</v>
      </c>
      <c r="B1" s="1938"/>
      <c r="C1" s="1938"/>
      <c r="D1" s="330" t="s">
        <v>258</v>
      </c>
      <c r="E1" s="277" t="s">
        <v>1267</v>
      </c>
      <c r="F1" s="277" t="s">
        <v>1921</v>
      </c>
      <c r="G1" s="277" t="s">
        <v>1923</v>
      </c>
      <c r="H1" s="277" t="s">
        <v>2</v>
      </c>
    </row>
    <row r="2" spans="1:12" ht="20.25">
      <c r="A2" s="1939" t="s">
        <v>506</v>
      </c>
      <c r="B2" s="1939"/>
      <c r="C2" s="1939"/>
      <c r="D2" s="1939"/>
      <c r="E2" s="1939"/>
      <c r="F2" s="331"/>
      <c r="G2" s="331"/>
      <c r="H2" s="331"/>
      <c r="K2" s="274"/>
    </row>
    <row r="3" spans="1:12" ht="19.5" customHeight="1">
      <c r="A3" s="1940" t="s">
        <v>507</v>
      </c>
      <c r="B3" s="1940"/>
      <c r="C3" s="1940"/>
      <c r="D3" s="1940"/>
      <c r="E3" s="332"/>
      <c r="F3" s="332"/>
      <c r="G3" s="332"/>
      <c r="H3" s="332"/>
      <c r="I3" s="333"/>
      <c r="J3" s="333"/>
      <c r="K3" s="333"/>
    </row>
    <row r="4" spans="1:12" ht="15">
      <c r="A4" s="334"/>
      <c r="B4" s="335" t="s">
        <v>102</v>
      </c>
      <c r="C4" s="336"/>
      <c r="D4" s="337" t="s">
        <v>508</v>
      </c>
      <c r="E4" s="282">
        <f>SUM(E5:E6)</f>
        <v>0</v>
      </c>
      <c r="F4" s="282">
        <f>SUM(F5:F6)</f>
        <v>0</v>
      </c>
      <c r="G4" s="282">
        <f>SUM(G5:G6)</f>
        <v>0</v>
      </c>
      <c r="H4" s="282"/>
      <c r="L4" s="322"/>
    </row>
    <row r="5" spans="1:12" s="303" customFormat="1" ht="15" hidden="1">
      <c r="A5" s="334"/>
      <c r="B5" s="338"/>
      <c r="C5" s="339" t="s">
        <v>184</v>
      </c>
      <c r="D5" s="309"/>
      <c r="E5" s="340"/>
      <c r="F5" s="340"/>
      <c r="G5" s="340"/>
      <c r="H5" s="340"/>
      <c r="K5" s="341"/>
      <c r="L5" s="341"/>
    </row>
    <row r="6" spans="1:12" ht="15" hidden="1">
      <c r="A6" s="334"/>
      <c r="B6" s="338"/>
      <c r="C6" s="339" t="s">
        <v>186</v>
      </c>
      <c r="D6" s="309"/>
      <c r="E6" s="340"/>
      <c r="F6" s="340"/>
      <c r="G6" s="340"/>
      <c r="H6" s="340"/>
      <c r="L6" s="322"/>
    </row>
    <row r="7" spans="1:12" ht="15">
      <c r="A7" s="296"/>
      <c r="B7" s="279" t="s">
        <v>104</v>
      </c>
      <c r="C7" s="280"/>
      <c r="D7" s="342" t="s">
        <v>1625</v>
      </c>
      <c r="E7" s="343">
        <f>E8+E11+E9</f>
        <v>6000</v>
      </c>
      <c r="F7" s="343">
        <f>F8+F11+F9</f>
        <v>1108</v>
      </c>
      <c r="G7" s="343">
        <f>G8+G11+G9</f>
        <v>0</v>
      </c>
      <c r="H7" s="343"/>
      <c r="L7" s="322"/>
    </row>
    <row r="8" spans="1:12" s="295" customFormat="1" ht="15" hidden="1">
      <c r="A8" s="344"/>
      <c r="B8" s="345"/>
      <c r="C8" s="346" t="s">
        <v>189</v>
      </c>
      <c r="D8" s="347"/>
      <c r="E8" s="348"/>
      <c r="F8" s="348"/>
      <c r="G8" s="348"/>
      <c r="H8" s="348"/>
      <c r="K8" s="349"/>
      <c r="L8" s="349"/>
    </row>
    <row r="9" spans="1:12" s="303" customFormat="1" ht="15" hidden="1">
      <c r="A9" s="296"/>
      <c r="B9" s="350"/>
      <c r="C9" s="339" t="s">
        <v>191</v>
      </c>
      <c r="D9" s="309"/>
      <c r="E9" s="298"/>
      <c r="F9" s="298"/>
      <c r="G9" s="298"/>
      <c r="H9" s="298"/>
      <c r="K9" s="341"/>
      <c r="L9" s="341"/>
    </row>
    <row r="10" spans="1:12" s="303" customFormat="1" ht="15" hidden="1">
      <c r="A10" s="296"/>
      <c r="B10" s="350"/>
      <c r="C10" s="351" t="s">
        <v>191</v>
      </c>
      <c r="D10" s="309" t="s">
        <v>510</v>
      </c>
      <c r="E10" s="298"/>
      <c r="F10" s="298"/>
      <c r="G10" s="298"/>
      <c r="H10" s="298"/>
      <c r="K10" s="341"/>
      <c r="L10" s="341"/>
    </row>
    <row r="11" spans="1:12" s="295" customFormat="1" ht="15">
      <c r="A11" s="290"/>
      <c r="B11" s="291"/>
      <c r="C11" s="339" t="s">
        <v>378</v>
      </c>
      <c r="D11" s="309" t="s">
        <v>1626</v>
      </c>
      <c r="E11" s="298">
        <f>E12</f>
        <v>6000</v>
      </c>
      <c r="F11" s="298">
        <f>F12</f>
        <v>1108</v>
      </c>
      <c r="G11" s="298">
        <f>G12</f>
        <v>0</v>
      </c>
      <c r="H11" s="298"/>
      <c r="K11" s="349"/>
      <c r="L11" s="349"/>
    </row>
    <row r="12" spans="1:12" ht="15">
      <c r="A12" s="296"/>
      <c r="B12" s="279"/>
      <c r="C12" s="352" t="s">
        <v>511</v>
      </c>
      <c r="D12" s="353" t="s">
        <v>1627</v>
      </c>
      <c r="E12" s="795">
        <v>6000</v>
      </c>
      <c r="F12" s="354">
        <v>1108</v>
      </c>
      <c r="G12" s="354">
        <v>0</v>
      </c>
      <c r="H12" s="354"/>
    </row>
    <row r="13" spans="1:12" ht="15">
      <c r="A13" s="296"/>
      <c r="B13" s="279" t="s">
        <v>106</v>
      </c>
      <c r="C13" s="280"/>
      <c r="D13" s="342" t="s">
        <v>201</v>
      </c>
      <c r="E13" s="343">
        <f>E14+E19</f>
        <v>131841</v>
      </c>
      <c r="F13" s="343">
        <f>F14+F19</f>
        <v>126034</v>
      </c>
      <c r="G13" s="343">
        <f>G14+G19</f>
        <v>60858</v>
      </c>
      <c r="H13" s="343">
        <f t="shared" ref="H13:H127" si="0">G13/F13*100</f>
        <v>48.286970182649128</v>
      </c>
      <c r="L13" s="322"/>
    </row>
    <row r="14" spans="1:12" s="295" customFormat="1" ht="15">
      <c r="A14" s="290"/>
      <c r="B14" s="291"/>
      <c r="C14" s="292" t="s">
        <v>513</v>
      </c>
      <c r="D14" s="293" t="s">
        <v>514</v>
      </c>
      <c r="E14" s="294">
        <f>SUM(E15:E18)</f>
        <v>127841</v>
      </c>
      <c r="F14" s="294">
        <f>SUM(F15:F18)</f>
        <v>122034</v>
      </c>
      <c r="G14" s="294">
        <f>SUM(G15:G18)</f>
        <v>60858</v>
      </c>
      <c r="H14" s="294">
        <f t="shared" si="0"/>
        <v>49.86970844190963</v>
      </c>
      <c r="K14" s="349"/>
      <c r="L14" s="349"/>
    </row>
    <row r="15" spans="1:12" ht="15">
      <c r="A15" s="296"/>
      <c r="B15" s="279"/>
      <c r="C15" s="351" t="s">
        <v>515</v>
      </c>
      <c r="D15" s="297" t="s">
        <v>516</v>
      </c>
      <c r="E15" s="298">
        <v>50000</v>
      </c>
      <c r="F15" s="298">
        <v>50003</v>
      </c>
      <c r="G15" s="298">
        <v>25340</v>
      </c>
      <c r="H15" s="298">
        <f t="shared" si="0"/>
        <v>50.676959382437062</v>
      </c>
      <c r="L15" s="322"/>
    </row>
    <row r="16" spans="1:12" ht="15">
      <c r="A16" s="296"/>
      <c r="B16" s="279"/>
      <c r="C16" s="351" t="s">
        <v>517</v>
      </c>
      <c r="D16" s="297" t="s">
        <v>518</v>
      </c>
      <c r="E16" s="298">
        <v>15000</v>
      </c>
      <c r="F16" s="298">
        <v>2320</v>
      </c>
      <c r="G16" s="298">
        <v>0</v>
      </c>
      <c r="H16" s="298"/>
      <c r="L16" s="322"/>
    </row>
    <row r="17" spans="1:12" ht="15" customHeight="1">
      <c r="A17" s="789"/>
      <c r="B17" s="790"/>
      <c r="C17" s="791" t="s">
        <v>519</v>
      </c>
      <c r="D17" s="792" t="s">
        <v>520</v>
      </c>
      <c r="E17" s="784">
        <v>32000</v>
      </c>
      <c r="F17" s="355">
        <v>29146</v>
      </c>
      <c r="G17" s="355">
        <v>9190</v>
      </c>
      <c r="H17" s="355">
        <f t="shared" si="0"/>
        <v>31.530913332875866</v>
      </c>
    </row>
    <row r="18" spans="1:12" s="793" customFormat="1" ht="15" customHeight="1">
      <c r="A18" s="789"/>
      <c r="B18" s="790"/>
      <c r="C18" s="791" t="s">
        <v>521</v>
      </c>
      <c r="D18" s="792" t="s">
        <v>1263</v>
      </c>
      <c r="E18" s="784">
        <v>30841</v>
      </c>
      <c r="F18" s="784">
        <v>40565</v>
      </c>
      <c r="G18" s="784">
        <v>26328</v>
      </c>
      <c r="H18" s="784">
        <f t="shared" si="0"/>
        <v>64.903241710834465</v>
      </c>
      <c r="K18" s="794"/>
    </row>
    <row r="19" spans="1:12" s="295" customFormat="1" ht="14.25" customHeight="1">
      <c r="A19" s="290"/>
      <c r="B19" s="291"/>
      <c r="C19" s="292" t="s">
        <v>522</v>
      </c>
      <c r="D19" s="293" t="s">
        <v>523</v>
      </c>
      <c r="E19" s="294">
        <f>E20</f>
        <v>4000</v>
      </c>
      <c r="F19" s="294">
        <f>F20</f>
        <v>4000</v>
      </c>
      <c r="G19" s="294">
        <f>G20</f>
        <v>0</v>
      </c>
      <c r="H19" s="294"/>
      <c r="K19" s="349"/>
      <c r="L19" s="349"/>
    </row>
    <row r="20" spans="1:12" ht="15">
      <c r="A20" s="296"/>
      <c r="B20" s="279"/>
      <c r="C20" s="351" t="s">
        <v>392</v>
      </c>
      <c r="D20" s="356" t="s">
        <v>524</v>
      </c>
      <c r="E20" s="298">
        <v>4000</v>
      </c>
      <c r="F20" s="298">
        <v>4000</v>
      </c>
      <c r="G20" s="298">
        <v>0</v>
      </c>
      <c r="H20" s="298"/>
    </row>
    <row r="21" spans="1:12" s="357" customFormat="1" ht="14.25">
      <c r="A21" s="278"/>
      <c r="B21" s="279" t="s">
        <v>428</v>
      </c>
      <c r="C21" s="280"/>
      <c r="D21" s="342" t="s">
        <v>111</v>
      </c>
      <c r="F21" s="343">
        <f>SUM(F22:F25)</f>
        <v>103399</v>
      </c>
      <c r="G21" s="343">
        <f>SUM(G22:G25)</f>
        <v>103312</v>
      </c>
      <c r="H21" s="343">
        <f t="shared" si="0"/>
        <v>99.915859921275825</v>
      </c>
      <c r="K21" s="358"/>
      <c r="L21" s="358"/>
    </row>
    <row r="22" spans="1:12" s="364" customFormat="1" ht="29.25" customHeight="1">
      <c r="A22" s="359"/>
      <c r="B22" s="360"/>
      <c r="C22" s="361" t="s">
        <v>428</v>
      </c>
      <c r="D22" s="362" t="s">
        <v>1628</v>
      </c>
      <c r="E22" s="363"/>
      <c r="F22" s="363">
        <v>500</v>
      </c>
      <c r="G22" s="363">
        <v>500</v>
      </c>
      <c r="H22" s="363">
        <f>G22/F22*100</f>
        <v>100</v>
      </c>
      <c r="K22" s="365"/>
      <c r="L22" s="365"/>
    </row>
    <row r="23" spans="1:12" s="357" customFormat="1" ht="29.25" customHeight="1">
      <c r="A23" s="278"/>
      <c r="B23" s="279"/>
      <c r="C23" s="351" t="s">
        <v>1185</v>
      </c>
      <c r="D23" s="356" t="s">
        <v>1629</v>
      </c>
      <c r="E23" s="298">
        <f>SUM('4. sz. mell.'!D19)</f>
        <v>0</v>
      </c>
      <c r="F23" s="298">
        <v>1000</v>
      </c>
      <c r="G23" s="298">
        <v>958</v>
      </c>
      <c r="H23" s="298">
        <f>G23/F23*100</f>
        <v>95.8</v>
      </c>
      <c r="K23" s="358"/>
      <c r="L23" s="358"/>
    </row>
    <row r="24" spans="1:12" s="357" customFormat="1" ht="29.25" customHeight="1">
      <c r="A24" s="1219"/>
      <c r="B24" s="1220"/>
      <c r="C24" s="351" t="s">
        <v>526</v>
      </c>
      <c r="D24" s="1221" t="s">
        <v>1911</v>
      </c>
      <c r="E24" s="1222"/>
      <c r="F24" s="1222">
        <v>99763</v>
      </c>
      <c r="G24" s="1222">
        <v>99813</v>
      </c>
      <c r="H24" s="1222"/>
      <c r="K24" s="358"/>
      <c r="L24" s="358"/>
    </row>
    <row r="25" spans="1:12" s="357" customFormat="1" ht="29.25" customHeight="1">
      <c r="A25" s="1219"/>
      <c r="B25" s="1220"/>
      <c r="C25" s="351" t="s">
        <v>527</v>
      </c>
      <c r="D25" s="1221" t="s">
        <v>1912</v>
      </c>
      <c r="E25" s="1222"/>
      <c r="F25" s="1222">
        <v>2136</v>
      </c>
      <c r="G25" s="1222">
        <v>2041</v>
      </c>
      <c r="H25" s="1222"/>
      <c r="K25" s="358"/>
      <c r="L25" s="358"/>
    </row>
    <row r="26" spans="1:12" s="357" customFormat="1" ht="15">
      <c r="A26" s="278"/>
      <c r="B26" s="279" t="s">
        <v>525</v>
      </c>
      <c r="C26" s="351"/>
      <c r="D26" s="342" t="s">
        <v>1184</v>
      </c>
      <c r="E26" s="343">
        <f>SUM(E27:E31)</f>
        <v>1312577</v>
      </c>
      <c r="F26" s="343">
        <f>SUM(F27:F31)</f>
        <v>1431844</v>
      </c>
      <c r="G26" s="343">
        <f>SUM(G27:G31)</f>
        <v>1431964</v>
      </c>
      <c r="H26" s="343">
        <f>G26/F26*100</f>
        <v>100.00838080126047</v>
      </c>
      <c r="K26" s="358"/>
      <c r="L26" s="358"/>
    </row>
    <row r="27" spans="1:12" s="357" customFormat="1" ht="29.25" customHeight="1">
      <c r="A27" s="366"/>
      <c r="B27" s="367"/>
      <c r="C27" s="368" t="s">
        <v>525</v>
      </c>
      <c r="D27" s="356" t="s">
        <v>1630</v>
      </c>
      <c r="E27" s="355">
        <f>SUM('5.11 sz. mell '!D28)</f>
        <v>82049</v>
      </c>
      <c r="F27" s="355">
        <v>147905</v>
      </c>
      <c r="G27" s="355">
        <v>147905</v>
      </c>
      <c r="H27" s="355">
        <f t="shared" si="0"/>
        <v>100</v>
      </c>
      <c r="K27" s="358"/>
      <c r="L27" s="358"/>
    </row>
    <row r="28" spans="1:12" s="357" customFormat="1" ht="29.25" customHeight="1">
      <c r="A28" s="278"/>
      <c r="B28" s="279"/>
      <c r="C28" s="351" t="s">
        <v>526</v>
      </c>
      <c r="D28" s="356" t="s">
        <v>1631</v>
      </c>
      <c r="E28" s="298">
        <f>'5. sz. mell. '!D40-'5.11 sz. mell '!D28</f>
        <v>199978</v>
      </c>
      <c r="F28" s="298">
        <f>'5. sz. mell. '!E40-'5.11 sz. mell '!E28+'5. sz. mell. '!E28</f>
        <v>217714</v>
      </c>
      <c r="G28" s="298">
        <f>'5. sz. mell. '!F40-'5.11 sz. mell '!F28+'5. sz. mell. '!F28</f>
        <v>217834</v>
      </c>
      <c r="H28" s="298">
        <f t="shared" si="0"/>
        <v>100.0551181825698</v>
      </c>
      <c r="I28" s="358"/>
      <c r="J28" s="358"/>
      <c r="K28" s="358"/>
      <c r="L28" s="358"/>
    </row>
    <row r="29" spans="1:12" s="357" customFormat="1" ht="29.25" customHeight="1">
      <c r="A29" s="278"/>
      <c r="B29" s="279"/>
      <c r="C29" s="351" t="s">
        <v>527</v>
      </c>
      <c r="D29" s="356" t="s">
        <v>1632</v>
      </c>
      <c r="E29" s="298">
        <f>SUM('5. sz. mell. '!D20)</f>
        <v>427277</v>
      </c>
      <c r="F29" s="298">
        <f>SUM('5. sz. mell. '!E20)</f>
        <v>367471</v>
      </c>
      <c r="G29" s="298">
        <f>SUM('5. sz. mell. '!F20)</f>
        <v>367471</v>
      </c>
      <c r="H29" s="298">
        <f t="shared" si="0"/>
        <v>100</v>
      </c>
      <c r="K29" s="358"/>
      <c r="L29" s="358"/>
    </row>
    <row r="30" spans="1:12" s="357" customFormat="1" ht="29.25" customHeight="1">
      <c r="A30" s="278"/>
      <c r="B30" s="279"/>
      <c r="C30" s="351" t="s">
        <v>528</v>
      </c>
      <c r="D30" s="356" t="s">
        <v>1633</v>
      </c>
      <c r="E30" s="298">
        <f>SUM('4. sz. mell.'!D28)</f>
        <v>548607</v>
      </c>
      <c r="F30" s="298">
        <f>SUM('4. sz. mell.'!E28)+'4. sz. mell.'!E19</f>
        <v>587285</v>
      </c>
      <c r="G30" s="298">
        <f>SUM('4. sz. mell.'!F28)+'4. sz. mell.'!F19</f>
        <v>587285</v>
      </c>
      <c r="H30" s="298">
        <f t="shared" si="0"/>
        <v>100</v>
      </c>
      <c r="K30" s="358"/>
      <c r="L30" s="358"/>
    </row>
    <row r="31" spans="1:12" s="357" customFormat="1" ht="29.25" customHeight="1">
      <c r="A31" s="278"/>
      <c r="B31" s="279"/>
      <c r="C31" s="351" t="s">
        <v>529</v>
      </c>
      <c r="D31" s="356" t="s">
        <v>1634</v>
      </c>
      <c r="E31" s="298">
        <f>SUM('4. sz. mell.'!D18)</f>
        <v>54666</v>
      </c>
      <c r="F31" s="298">
        <f>SUM('4. sz. mell.'!E18)</f>
        <v>111469</v>
      </c>
      <c r="G31" s="298">
        <f>SUM('4. sz. mell.'!F18)</f>
        <v>111469</v>
      </c>
      <c r="H31" s="298">
        <f t="shared" si="0"/>
        <v>100</v>
      </c>
      <c r="K31" s="358"/>
      <c r="L31" s="358"/>
    </row>
    <row r="32" spans="1:12" hidden="1"/>
    <row r="33" spans="1:12" s="357" customFormat="1" ht="14.25">
      <c r="A33" s="278"/>
      <c r="B33" s="279" t="s">
        <v>432</v>
      </c>
      <c r="C33" s="280"/>
      <c r="D33" s="342" t="s">
        <v>530</v>
      </c>
      <c r="E33" s="343"/>
      <c r="F33" s="343"/>
      <c r="G33" s="343"/>
      <c r="H33" s="343"/>
      <c r="K33" s="358"/>
      <c r="L33" s="358"/>
    </row>
    <row r="34" spans="1:12" s="357" customFormat="1" ht="14.25">
      <c r="A34" s="278"/>
      <c r="B34" s="279" t="s">
        <v>434</v>
      </c>
      <c r="C34" s="280"/>
      <c r="D34" s="342" t="s">
        <v>531</v>
      </c>
      <c r="E34" s="343">
        <f>E35+E49+E124+E105</f>
        <v>101646</v>
      </c>
      <c r="F34" s="343">
        <f>F35+F49+F124+F105</f>
        <v>186947</v>
      </c>
      <c r="G34" s="343">
        <f>G35+G49+G124+G105</f>
        <v>152289</v>
      </c>
      <c r="H34" s="343">
        <f t="shared" si="0"/>
        <v>81.461055807260891</v>
      </c>
      <c r="K34" s="358"/>
      <c r="L34" s="358"/>
    </row>
    <row r="35" spans="1:12" s="357" customFormat="1" ht="14.25">
      <c r="A35" s="278"/>
      <c r="B35" s="279"/>
      <c r="C35" s="280" t="s">
        <v>532</v>
      </c>
      <c r="D35" s="342" t="s">
        <v>533</v>
      </c>
      <c r="E35" s="343">
        <f>SUM(E36:E45)-E39-E43</f>
        <v>16800</v>
      </c>
      <c r="F35" s="343">
        <f>SUM(F36:F48)-F39-F43-F46-F47</f>
        <v>31050</v>
      </c>
      <c r="G35" s="343">
        <f>SUM(G36:G48)-G39-G43-G46-G47</f>
        <v>30400</v>
      </c>
      <c r="H35" s="343">
        <f t="shared" si="0"/>
        <v>97.90660225442835</v>
      </c>
      <c r="K35" s="358"/>
    </row>
    <row r="36" spans="1:12" ht="15">
      <c r="A36" s="278"/>
      <c r="B36" s="279"/>
      <c r="C36" s="351" t="s">
        <v>534</v>
      </c>
      <c r="D36" s="370" t="s">
        <v>535</v>
      </c>
      <c r="E36" s="298">
        <v>1700</v>
      </c>
      <c r="F36" s="298">
        <v>3550</v>
      </c>
      <c r="G36" s="298">
        <v>3400</v>
      </c>
      <c r="H36" s="298">
        <f t="shared" si="0"/>
        <v>95.774647887323937</v>
      </c>
    </row>
    <row r="37" spans="1:12" ht="15">
      <c r="A37" s="278"/>
      <c r="B37" s="279"/>
      <c r="C37" s="351" t="s">
        <v>536</v>
      </c>
      <c r="D37" s="370" t="s">
        <v>537</v>
      </c>
      <c r="E37" s="298">
        <v>200</v>
      </c>
      <c r="F37" s="298">
        <v>200</v>
      </c>
      <c r="G37" s="298">
        <v>200</v>
      </c>
      <c r="H37" s="298">
        <f t="shared" si="0"/>
        <v>100</v>
      </c>
    </row>
    <row r="38" spans="1:12" ht="15">
      <c r="A38" s="278"/>
      <c r="B38" s="279"/>
      <c r="C38" s="351" t="s">
        <v>538</v>
      </c>
      <c r="D38" s="370" t="s">
        <v>539</v>
      </c>
      <c r="E38" s="298">
        <v>6000</v>
      </c>
      <c r="F38" s="298">
        <v>9500</v>
      </c>
      <c r="G38" s="298">
        <v>9500</v>
      </c>
      <c r="H38" s="298">
        <f t="shared" si="0"/>
        <v>100</v>
      </c>
    </row>
    <row r="39" spans="1:12" ht="15" hidden="1">
      <c r="A39" s="278"/>
      <c r="B39" s="279"/>
      <c r="C39" s="306" t="s">
        <v>540</v>
      </c>
      <c r="D39" s="370" t="s">
        <v>541</v>
      </c>
      <c r="E39" s="298"/>
      <c r="F39" s="298"/>
      <c r="G39" s="298"/>
      <c r="H39" s="298" t="e">
        <f t="shared" si="0"/>
        <v>#DIV/0!</v>
      </c>
    </row>
    <row r="40" spans="1:12" ht="15">
      <c r="A40" s="278"/>
      <c r="B40" s="279"/>
      <c r="C40" s="351" t="s">
        <v>542</v>
      </c>
      <c r="D40" s="370" t="s">
        <v>543</v>
      </c>
      <c r="E40" s="298">
        <v>200</v>
      </c>
      <c r="F40" s="298">
        <v>200</v>
      </c>
      <c r="G40" s="298">
        <v>200</v>
      </c>
      <c r="H40" s="298">
        <f t="shared" si="0"/>
        <v>100</v>
      </c>
    </row>
    <row r="41" spans="1:12" ht="15">
      <c r="A41" s="278"/>
      <c r="B41" s="279"/>
      <c r="C41" s="351" t="s">
        <v>544</v>
      </c>
      <c r="D41" s="370" t="s">
        <v>545</v>
      </c>
      <c r="E41" s="298">
        <v>200</v>
      </c>
      <c r="F41" s="298">
        <v>200</v>
      </c>
      <c r="G41" s="298">
        <v>200</v>
      </c>
      <c r="H41" s="298">
        <f t="shared" si="0"/>
        <v>100</v>
      </c>
    </row>
    <row r="42" spans="1:12" ht="15">
      <c r="A42" s="278"/>
      <c r="B42" s="279"/>
      <c r="C42" s="351" t="s">
        <v>546</v>
      </c>
      <c r="D42" s="370" t="s">
        <v>547</v>
      </c>
      <c r="E42" s="298">
        <v>4000</v>
      </c>
      <c r="F42" s="298">
        <v>7300</v>
      </c>
      <c r="G42" s="298">
        <v>7300</v>
      </c>
      <c r="H42" s="298">
        <f t="shared" si="0"/>
        <v>100</v>
      </c>
    </row>
    <row r="43" spans="1:12" ht="15" hidden="1">
      <c r="A43" s="278"/>
      <c r="B43" s="279"/>
      <c r="C43" s="351"/>
      <c r="D43" s="370"/>
      <c r="E43" s="298">
        <v>0</v>
      </c>
      <c r="F43" s="298"/>
      <c r="G43" s="298"/>
      <c r="H43" s="298" t="e">
        <f t="shared" si="0"/>
        <v>#DIV/0!</v>
      </c>
    </row>
    <row r="44" spans="1:12" ht="15">
      <c r="A44" s="278"/>
      <c r="B44" s="279"/>
      <c r="C44" s="351" t="s">
        <v>548</v>
      </c>
      <c r="D44" s="370" t="s">
        <v>549</v>
      </c>
      <c r="E44" s="298">
        <v>500</v>
      </c>
      <c r="F44" s="298">
        <v>1000</v>
      </c>
      <c r="G44" s="298">
        <v>500</v>
      </c>
      <c r="H44" s="298">
        <f t="shared" si="0"/>
        <v>50</v>
      </c>
    </row>
    <row r="45" spans="1:12" ht="15">
      <c r="A45" s="278"/>
      <c r="B45" s="279"/>
      <c r="C45" s="351" t="s">
        <v>550</v>
      </c>
      <c r="D45" s="370" t="s">
        <v>551</v>
      </c>
      <c r="E45" s="298">
        <f>SUM(E46:E48)</f>
        <v>4000</v>
      </c>
      <c r="F45" s="298">
        <v>8500</v>
      </c>
      <c r="G45" s="298">
        <v>8500</v>
      </c>
      <c r="H45" s="298">
        <f t="shared" si="0"/>
        <v>100</v>
      </c>
    </row>
    <row r="46" spans="1:12" ht="15">
      <c r="A46" s="278"/>
      <c r="B46" s="279"/>
      <c r="C46" s="306" t="s">
        <v>552</v>
      </c>
      <c r="D46" s="370" t="s">
        <v>553</v>
      </c>
      <c r="E46" s="298">
        <v>2500</v>
      </c>
      <c r="F46" s="298">
        <v>3000</v>
      </c>
      <c r="G46" s="298">
        <v>3000</v>
      </c>
      <c r="H46" s="298">
        <f t="shared" si="0"/>
        <v>100</v>
      </c>
    </row>
    <row r="47" spans="1:12" ht="15">
      <c r="A47" s="278"/>
      <c r="B47" s="279"/>
      <c r="C47" s="306" t="s">
        <v>554</v>
      </c>
      <c r="D47" s="370" t="s">
        <v>1685</v>
      </c>
      <c r="E47" s="298">
        <v>1500</v>
      </c>
      <c r="F47" s="298">
        <v>1500</v>
      </c>
      <c r="G47" s="298">
        <v>1500</v>
      </c>
      <c r="H47" s="298">
        <f t="shared" si="0"/>
        <v>100</v>
      </c>
    </row>
    <row r="48" spans="1:12" ht="15">
      <c r="A48" s="278"/>
      <c r="B48" s="279"/>
      <c r="C48" s="306" t="s">
        <v>1997</v>
      </c>
      <c r="D48" s="370" t="s">
        <v>1998</v>
      </c>
      <c r="E48" s="298"/>
      <c r="F48" s="298">
        <v>600</v>
      </c>
      <c r="G48" s="298">
        <v>600</v>
      </c>
      <c r="H48" s="298">
        <f t="shared" si="0"/>
        <v>100</v>
      </c>
    </row>
    <row r="49" spans="1:12" s="357" customFormat="1" ht="14.25">
      <c r="A49" s="278"/>
      <c r="B49" s="279"/>
      <c r="C49" s="280" t="s">
        <v>555</v>
      </c>
      <c r="D49" s="342" t="s">
        <v>556</v>
      </c>
      <c r="E49" s="343">
        <f>SUM(E50:E60)-E51-E52-E53-E58</f>
        <v>43620</v>
      </c>
      <c r="F49" s="343">
        <f>SUM(F50:F104)-F51-F52-F53-F58</f>
        <v>87182</v>
      </c>
      <c r="G49" s="343">
        <f>SUM(G50:G104)-G51-G52-G53-G58</f>
        <v>85182</v>
      </c>
      <c r="H49" s="343">
        <f t="shared" si="0"/>
        <v>97.705948475602767</v>
      </c>
      <c r="K49" s="358"/>
    </row>
    <row r="50" spans="1:12" ht="15">
      <c r="A50" s="278"/>
      <c r="B50" s="279"/>
      <c r="C50" s="351" t="s">
        <v>557</v>
      </c>
      <c r="D50" s="370" t="s">
        <v>558</v>
      </c>
      <c r="E50" s="302">
        <f>SUM(E51:E53)</f>
        <v>24500</v>
      </c>
      <c r="F50" s="302">
        <f t="shared" ref="F50:G50" si="1">SUM(F51:F53)</f>
        <v>39650</v>
      </c>
      <c r="G50" s="302">
        <f t="shared" si="1"/>
        <v>37650</v>
      </c>
      <c r="H50" s="302">
        <f t="shared" si="0"/>
        <v>94.955863808322832</v>
      </c>
    </row>
    <row r="51" spans="1:12" ht="15">
      <c r="A51" s="278"/>
      <c r="B51" s="279"/>
      <c r="C51" s="351" t="s">
        <v>559</v>
      </c>
      <c r="D51" s="370" t="s">
        <v>1279</v>
      </c>
      <c r="E51" s="298">
        <v>17000</v>
      </c>
      <c r="F51" s="298">
        <v>32000</v>
      </c>
      <c r="G51" s="298">
        <v>30000</v>
      </c>
      <c r="H51" s="298">
        <f t="shared" si="0"/>
        <v>93.75</v>
      </c>
    </row>
    <row r="52" spans="1:12" ht="15">
      <c r="A52" s="278"/>
      <c r="B52" s="279"/>
      <c r="C52" s="351" t="s">
        <v>560</v>
      </c>
      <c r="D52" s="370" t="s">
        <v>561</v>
      </c>
      <c r="E52" s="298">
        <v>7500</v>
      </c>
      <c r="F52" s="298">
        <v>7650</v>
      </c>
      <c r="G52" s="298">
        <v>7650</v>
      </c>
      <c r="H52" s="298">
        <f t="shared" si="0"/>
        <v>100</v>
      </c>
      <c r="I52" s="322">
        <f>F52+F80+F87+F90+F91+F95</f>
        <v>15915</v>
      </c>
      <c r="J52" s="322"/>
    </row>
    <row r="53" spans="1:12" ht="15" hidden="1">
      <c r="A53" s="278"/>
      <c r="B53" s="279"/>
      <c r="C53" s="351" t="s">
        <v>562</v>
      </c>
      <c r="D53" s="370" t="s">
        <v>563</v>
      </c>
      <c r="E53" s="298"/>
      <c r="F53" s="298"/>
      <c r="G53" s="298"/>
      <c r="H53" s="298" t="e">
        <f t="shared" si="0"/>
        <v>#DIV/0!</v>
      </c>
    </row>
    <row r="54" spans="1:12" ht="15">
      <c r="A54" s="278"/>
      <c r="B54" s="279"/>
      <c r="C54" s="351" t="s">
        <v>564</v>
      </c>
      <c r="D54" s="370" t="s">
        <v>565</v>
      </c>
      <c r="E54" s="298">
        <v>3500</v>
      </c>
      <c r="F54" s="298">
        <v>3500</v>
      </c>
      <c r="G54" s="298">
        <v>3500</v>
      </c>
      <c r="H54" s="298">
        <f t="shared" si="0"/>
        <v>100</v>
      </c>
      <c r="K54" s="322">
        <f>SUM(F54:F55)</f>
        <v>5000</v>
      </c>
      <c r="L54" s="322">
        <f>SUM(G54:G55)</f>
        <v>5000</v>
      </c>
    </row>
    <row r="55" spans="1:12" ht="15">
      <c r="A55" s="278"/>
      <c r="B55" s="279"/>
      <c r="C55" s="351" t="s">
        <v>566</v>
      </c>
      <c r="D55" s="370" t="s">
        <v>1271</v>
      </c>
      <c r="E55" s="298">
        <v>1500</v>
      </c>
      <c r="F55" s="298">
        <v>1500</v>
      </c>
      <c r="G55" s="298">
        <v>1500</v>
      </c>
      <c r="H55" s="298">
        <f t="shared" si="0"/>
        <v>100</v>
      </c>
    </row>
    <row r="56" spans="1:12" ht="15">
      <c r="A56" s="371"/>
      <c r="B56" s="372"/>
      <c r="C56" s="351" t="s">
        <v>567</v>
      </c>
      <c r="D56" s="373" t="s">
        <v>568</v>
      </c>
      <c r="E56" s="374">
        <v>7620</v>
      </c>
      <c r="F56" s="374">
        <v>7620</v>
      </c>
      <c r="G56" s="374">
        <v>7620</v>
      </c>
      <c r="H56" s="374">
        <f t="shared" si="0"/>
        <v>100</v>
      </c>
    </row>
    <row r="57" spans="1:12" ht="15">
      <c r="A57" s="371"/>
      <c r="B57" s="372"/>
      <c r="C57" s="351" t="s">
        <v>569</v>
      </c>
      <c r="D57" s="375" t="s">
        <v>570</v>
      </c>
      <c r="E57" s="374">
        <v>6000</v>
      </c>
      <c r="F57" s="374">
        <v>6000</v>
      </c>
      <c r="G57" s="374">
        <v>6000</v>
      </c>
      <c r="H57" s="374">
        <f t="shared" si="0"/>
        <v>100</v>
      </c>
    </row>
    <row r="58" spans="1:12" ht="15">
      <c r="A58" s="371"/>
      <c r="B58" s="372"/>
      <c r="C58" s="351" t="s">
        <v>571</v>
      </c>
      <c r="D58" s="376" t="s">
        <v>572</v>
      </c>
      <c r="E58" s="377">
        <v>2500</v>
      </c>
      <c r="F58" s="377">
        <v>2500</v>
      </c>
      <c r="G58" s="377">
        <v>2500</v>
      </c>
      <c r="H58" s="377">
        <f t="shared" si="0"/>
        <v>100</v>
      </c>
    </row>
    <row r="59" spans="1:12" ht="15">
      <c r="A59" s="371"/>
      <c r="B59" s="372"/>
      <c r="C59" s="351" t="s">
        <v>573</v>
      </c>
      <c r="D59" s="373" t="s">
        <v>574</v>
      </c>
      <c r="E59" s="374">
        <v>500</v>
      </c>
      <c r="F59" s="374">
        <v>500</v>
      </c>
      <c r="G59" s="374">
        <v>500</v>
      </c>
      <c r="H59" s="374">
        <f t="shared" si="0"/>
        <v>100</v>
      </c>
    </row>
    <row r="60" spans="1:12" ht="15">
      <c r="A60" s="371"/>
      <c r="B60" s="372"/>
      <c r="C60" s="351" t="s">
        <v>575</v>
      </c>
      <c r="D60" s="375" t="s">
        <v>1747</v>
      </c>
      <c r="E60" s="374"/>
      <c r="F60" s="374">
        <v>1630</v>
      </c>
      <c r="G60" s="374">
        <v>1630</v>
      </c>
      <c r="H60" s="374">
        <f t="shared" si="0"/>
        <v>100</v>
      </c>
    </row>
    <row r="61" spans="1:12" ht="15">
      <c r="A61" s="371"/>
      <c r="B61" s="372"/>
      <c r="C61" s="351" t="s">
        <v>576</v>
      </c>
      <c r="D61" s="375" t="s">
        <v>577</v>
      </c>
      <c r="E61" s="374"/>
      <c r="F61" s="374">
        <v>50</v>
      </c>
      <c r="G61" s="374">
        <v>50</v>
      </c>
      <c r="H61" s="374">
        <f t="shared" si="0"/>
        <v>100</v>
      </c>
    </row>
    <row r="62" spans="1:12" ht="15">
      <c r="A62" s="371"/>
      <c r="B62" s="372"/>
      <c r="C62" s="351" t="s">
        <v>578</v>
      </c>
      <c r="D62" s="375" t="s">
        <v>1749</v>
      </c>
      <c r="E62" s="374"/>
      <c r="F62" s="374">
        <v>200</v>
      </c>
      <c r="G62" s="374">
        <v>200</v>
      </c>
      <c r="H62" s="374">
        <f t="shared" si="0"/>
        <v>100</v>
      </c>
    </row>
    <row r="63" spans="1:12" ht="15">
      <c r="A63" s="371"/>
      <c r="B63" s="372"/>
      <c r="C63" s="351" t="s">
        <v>579</v>
      </c>
      <c r="D63" s="375" t="s">
        <v>580</v>
      </c>
      <c r="E63" s="374"/>
      <c r="F63" s="374">
        <v>50</v>
      </c>
      <c r="G63" s="374">
        <v>50</v>
      </c>
      <c r="H63" s="374">
        <f t="shared" si="0"/>
        <v>100</v>
      </c>
    </row>
    <row r="64" spans="1:12" ht="15">
      <c r="A64" s="371"/>
      <c r="B64" s="372"/>
      <c r="C64" s="351" t="s">
        <v>581</v>
      </c>
      <c r="D64" s="375" t="s">
        <v>582</v>
      </c>
      <c r="E64" s="374"/>
      <c r="F64" s="374">
        <v>1450</v>
      </c>
      <c r="G64" s="374">
        <v>1450</v>
      </c>
      <c r="H64" s="374">
        <f t="shared" si="0"/>
        <v>100</v>
      </c>
    </row>
    <row r="65" spans="1:8" ht="15">
      <c r="A65" s="371"/>
      <c r="B65" s="372"/>
      <c r="C65" s="351" t="s">
        <v>583</v>
      </c>
      <c r="D65" s="375" t="s">
        <v>584</v>
      </c>
      <c r="E65" s="374"/>
      <c r="F65" s="374">
        <v>50</v>
      </c>
      <c r="G65" s="374">
        <v>50</v>
      </c>
      <c r="H65" s="374">
        <f t="shared" si="0"/>
        <v>100</v>
      </c>
    </row>
    <row r="66" spans="1:8" ht="15">
      <c r="A66" s="371"/>
      <c r="B66" s="372"/>
      <c r="C66" s="351" t="s">
        <v>585</v>
      </c>
      <c r="D66" s="375" t="s">
        <v>586</v>
      </c>
      <c r="E66" s="374"/>
      <c r="F66" s="374">
        <v>50</v>
      </c>
      <c r="G66" s="374">
        <v>50</v>
      </c>
      <c r="H66" s="374">
        <f t="shared" si="0"/>
        <v>100</v>
      </c>
    </row>
    <row r="67" spans="1:8" ht="15">
      <c r="A67" s="371"/>
      <c r="B67" s="372"/>
      <c r="C67" s="351" t="s">
        <v>587</v>
      </c>
      <c r="D67" s="375" t="s">
        <v>588</v>
      </c>
      <c r="E67" s="374"/>
      <c r="F67" s="374">
        <v>80</v>
      </c>
      <c r="G67" s="374">
        <v>80</v>
      </c>
      <c r="H67" s="374">
        <f t="shared" si="0"/>
        <v>100</v>
      </c>
    </row>
    <row r="68" spans="1:8" ht="15">
      <c r="A68" s="371"/>
      <c r="B68" s="372"/>
      <c r="C68" s="351" t="s">
        <v>589</v>
      </c>
      <c r="D68" s="375" t="s">
        <v>590</v>
      </c>
      <c r="E68" s="374"/>
      <c r="F68" s="374">
        <v>50</v>
      </c>
      <c r="G68" s="374">
        <v>50</v>
      </c>
      <c r="H68" s="374">
        <f t="shared" si="0"/>
        <v>100</v>
      </c>
    </row>
    <row r="69" spans="1:8" ht="15">
      <c r="A69" s="371"/>
      <c r="B69" s="372"/>
      <c r="C69" s="351" t="s">
        <v>591</v>
      </c>
      <c r="D69" s="375" t="s">
        <v>592</v>
      </c>
      <c r="E69" s="374"/>
      <c r="F69" s="374">
        <v>50</v>
      </c>
      <c r="G69" s="374">
        <v>50</v>
      </c>
      <c r="H69" s="374">
        <f t="shared" si="0"/>
        <v>100</v>
      </c>
    </row>
    <row r="70" spans="1:8" ht="15">
      <c r="A70" s="371"/>
      <c r="B70" s="372"/>
      <c r="C70" s="351" t="s">
        <v>593</v>
      </c>
      <c r="D70" s="375" t="s">
        <v>594</v>
      </c>
      <c r="E70" s="374"/>
      <c r="F70" s="374">
        <v>0</v>
      </c>
      <c r="G70" s="374">
        <v>0</v>
      </c>
      <c r="H70" s="374"/>
    </row>
    <row r="71" spans="1:8" ht="15">
      <c r="A71" s="371"/>
      <c r="B71" s="372"/>
      <c r="C71" s="351" t="s">
        <v>595</v>
      </c>
      <c r="D71" s="375" t="s">
        <v>596</v>
      </c>
      <c r="E71" s="374"/>
      <c r="F71" s="374">
        <v>120</v>
      </c>
      <c r="G71" s="374">
        <v>120</v>
      </c>
      <c r="H71" s="374">
        <f t="shared" ref="H71:H84" si="2">G71/F71*100</f>
        <v>100</v>
      </c>
    </row>
    <row r="72" spans="1:8" ht="15">
      <c r="A72" s="371"/>
      <c r="B72" s="372"/>
      <c r="C72" s="351" t="s">
        <v>597</v>
      </c>
      <c r="D72" s="375" t="s">
        <v>598</v>
      </c>
      <c r="E72" s="374"/>
      <c r="F72" s="374">
        <v>50</v>
      </c>
      <c r="G72" s="374">
        <v>50</v>
      </c>
      <c r="H72" s="374">
        <f t="shared" si="2"/>
        <v>100</v>
      </c>
    </row>
    <row r="73" spans="1:8" ht="15">
      <c r="A73" s="371"/>
      <c r="B73" s="372"/>
      <c r="C73" s="351" t="s">
        <v>599</v>
      </c>
      <c r="D73" s="375" t="s">
        <v>600</v>
      </c>
      <c r="E73" s="374"/>
      <c r="F73" s="374">
        <v>50</v>
      </c>
      <c r="G73" s="374">
        <v>50</v>
      </c>
      <c r="H73" s="374">
        <f t="shared" si="2"/>
        <v>100</v>
      </c>
    </row>
    <row r="74" spans="1:8" ht="15">
      <c r="A74" s="371"/>
      <c r="B74" s="372"/>
      <c r="C74" s="351" t="s">
        <v>601</v>
      </c>
      <c r="D74" s="375" t="s">
        <v>1748</v>
      </c>
      <c r="E74" s="374"/>
      <c r="F74" s="374">
        <v>267</v>
      </c>
      <c r="G74" s="374">
        <v>267</v>
      </c>
      <c r="H74" s="374">
        <f t="shared" si="2"/>
        <v>100</v>
      </c>
    </row>
    <row r="75" spans="1:8" ht="15">
      <c r="A75" s="371"/>
      <c r="B75" s="372"/>
      <c r="C75" s="351" t="s">
        <v>602</v>
      </c>
      <c r="D75" s="375" t="s">
        <v>603</v>
      </c>
      <c r="E75" s="374"/>
      <c r="F75" s="374">
        <v>50</v>
      </c>
      <c r="G75" s="374">
        <v>50</v>
      </c>
      <c r="H75" s="374">
        <f t="shared" si="2"/>
        <v>100</v>
      </c>
    </row>
    <row r="76" spans="1:8" ht="15">
      <c r="A76" s="371"/>
      <c r="B76" s="372"/>
      <c r="C76" s="351" t="s">
        <v>604</v>
      </c>
      <c r="D76" s="375" t="s">
        <v>605</v>
      </c>
      <c r="E76" s="374"/>
      <c r="F76" s="374">
        <v>50</v>
      </c>
      <c r="G76" s="374">
        <v>50</v>
      </c>
      <c r="H76" s="374">
        <f t="shared" si="2"/>
        <v>100</v>
      </c>
    </row>
    <row r="77" spans="1:8" ht="15">
      <c r="A77" s="371"/>
      <c r="B77" s="372"/>
      <c r="C77" s="351" t="s">
        <v>606</v>
      </c>
      <c r="D77" s="375" t="s">
        <v>607</v>
      </c>
      <c r="E77" s="374"/>
      <c r="F77" s="374">
        <v>50</v>
      </c>
      <c r="G77" s="374">
        <v>50</v>
      </c>
      <c r="H77" s="374">
        <f t="shared" si="2"/>
        <v>100</v>
      </c>
    </row>
    <row r="78" spans="1:8" ht="15">
      <c r="A78" s="371"/>
      <c r="B78" s="372"/>
      <c r="C78" s="351" t="s">
        <v>608</v>
      </c>
      <c r="D78" s="375" t="s">
        <v>609</v>
      </c>
      <c r="E78" s="374"/>
      <c r="F78" s="374">
        <v>50</v>
      </c>
      <c r="G78" s="374">
        <v>50</v>
      </c>
      <c r="H78" s="374">
        <f t="shared" si="2"/>
        <v>100</v>
      </c>
    </row>
    <row r="79" spans="1:8" ht="15">
      <c r="A79" s="371"/>
      <c r="B79" s="372"/>
      <c r="C79" s="351" t="s">
        <v>610</v>
      </c>
      <c r="D79" s="375" t="s">
        <v>1752</v>
      </c>
      <c r="E79" s="374"/>
      <c r="F79" s="374">
        <v>14000</v>
      </c>
      <c r="G79" s="374">
        <v>14000</v>
      </c>
      <c r="H79" s="374">
        <f t="shared" si="2"/>
        <v>100</v>
      </c>
    </row>
    <row r="80" spans="1:8" ht="15">
      <c r="A80" s="371"/>
      <c r="B80" s="372"/>
      <c r="C80" s="351" t="s">
        <v>611</v>
      </c>
      <c r="D80" s="375" t="s">
        <v>612</v>
      </c>
      <c r="E80" s="374"/>
      <c r="F80" s="374">
        <v>7820</v>
      </c>
      <c r="G80" s="374">
        <v>7820</v>
      </c>
      <c r="H80" s="374">
        <f t="shared" si="2"/>
        <v>100</v>
      </c>
    </row>
    <row r="81" spans="1:8" ht="15">
      <c r="A81" s="371"/>
      <c r="B81" s="372"/>
      <c r="C81" s="351" t="s">
        <v>613</v>
      </c>
      <c r="D81" s="375" t="s">
        <v>1240</v>
      </c>
      <c r="E81" s="374"/>
      <c r="F81" s="374">
        <v>150</v>
      </c>
      <c r="G81" s="374">
        <v>150</v>
      </c>
      <c r="H81" s="374">
        <f t="shared" si="2"/>
        <v>100</v>
      </c>
    </row>
    <row r="82" spans="1:8" ht="15">
      <c r="A82" s="371"/>
      <c r="B82" s="372"/>
      <c r="C82" s="351" t="s">
        <v>614</v>
      </c>
      <c r="D82" s="375" t="s">
        <v>1244</v>
      </c>
      <c r="E82" s="374"/>
      <c r="F82" s="374">
        <v>400</v>
      </c>
      <c r="G82" s="374">
        <v>400</v>
      </c>
      <c r="H82" s="374">
        <f t="shared" si="2"/>
        <v>100</v>
      </c>
    </row>
    <row r="83" spans="1:8" ht="15">
      <c r="A83" s="371"/>
      <c r="B83" s="372"/>
      <c r="C83" s="351" t="s">
        <v>1237</v>
      </c>
      <c r="D83" s="375" t="s">
        <v>1880</v>
      </c>
      <c r="E83" s="374"/>
      <c r="F83" s="374">
        <v>130</v>
      </c>
      <c r="G83" s="374">
        <v>130</v>
      </c>
      <c r="H83" s="374">
        <f t="shared" si="2"/>
        <v>100</v>
      </c>
    </row>
    <row r="84" spans="1:8" ht="15">
      <c r="A84" s="371"/>
      <c r="B84" s="372"/>
      <c r="C84" s="351" t="s">
        <v>1238</v>
      </c>
      <c r="D84" s="375" t="s">
        <v>2008</v>
      </c>
      <c r="E84" s="374"/>
      <c r="F84" s="374">
        <v>50</v>
      </c>
      <c r="G84" s="374">
        <v>50</v>
      </c>
      <c r="H84" s="374">
        <f t="shared" si="2"/>
        <v>100</v>
      </c>
    </row>
    <row r="85" spans="1:8" ht="15">
      <c r="A85" s="371"/>
      <c r="B85" s="372"/>
      <c r="C85" s="351" t="s">
        <v>1239</v>
      </c>
      <c r="D85" s="375" t="s">
        <v>2009</v>
      </c>
      <c r="E85" s="374"/>
      <c r="F85" s="374">
        <v>100</v>
      </c>
      <c r="G85" s="374">
        <v>100</v>
      </c>
      <c r="H85" s="374">
        <f t="shared" si="0"/>
        <v>100</v>
      </c>
    </row>
    <row r="86" spans="1:8" ht="15">
      <c r="A86" s="371"/>
      <c r="B86" s="372"/>
      <c r="C86" s="351" t="s">
        <v>1241</v>
      </c>
      <c r="D86" s="375" t="s">
        <v>2010</v>
      </c>
      <c r="E86" s="374"/>
      <c r="F86" s="374">
        <v>70</v>
      </c>
      <c r="G86" s="374">
        <v>70</v>
      </c>
      <c r="H86" s="374">
        <f t="shared" si="0"/>
        <v>100</v>
      </c>
    </row>
    <row r="87" spans="1:8" ht="15">
      <c r="A87" s="371"/>
      <c r="B87" s="372"/>
      <c r="C87" s="351" t="s">
        <v>1243</v>
      </c>
      <c r="D87" s="375" t="s">
        <v>2011</v>
      </c>
      <c r="E87" s="374"/>
      <c r="F87" s="374">
        <v>110</v>
      </c>
      <c r="G87" s="374">
        <v>110</v>
      </c>
      <c r="H87" s="374">
        <f t="shared" si="0"/>
        <v>100</v>
      </c>
    </row>
    <row r="88" spans="1:8" ht="15">
      <c r="A88" s="371"/>
      <c r="B88" s="372"/>
      <c r="C88" s="351" t="s">
        <v>1245</v>
      </c>
      <c r="D88" s="375" t="s">
        <v>2012</v>
      </c>
      <c r="E88" s="374"/>
      <c r="F88" s="374">
        <v>40</v>
      </c>
      <c r="G88" s="374">
        <v>40</v>
      </c>
      <c r="H88" s="374">
        <f t="shared" si="0"/>
        <v>100</v>
      </c>
    </row>
    <row r="89" spans="1:8" ht="15">
      <c r="A89" s="371"/>
      <c r="B89" s="372"/>
      <c r="C89" s="351" t="s">
        <v>1247</v>
      </c>
      <c r="D89" s="375" t="s">
        <v>2013</v>
      </c>
      <c r="E89" s="374"/>
      <c r="F89" s="374">
        <v>100</v>
      </c>
      <c r="G89" s="374">
        <v>100</v>
      </c>
      <c r="H89" s="374">
        <f t="shared" si="0"/>
        <v>100</v>
      </c>
    </row>
    <row r="90" spans="1:8" ht="15">
      <c r="A90" s="371"/>
      <c r="B90" s="372"/>
      <c r="C90" s="351" t="s">
        <v>1249</v>
      </c>
      <c r="D90" s="375" t="s">
        <v>2014</v>
      </c>
      <c r="E90" s="374"/>
      <c r="F90" s="374">
        <v>100</v>
      </c>
      <c r="G90" s="374">
        <v>100</v>
      </c>
      <c r="H90" s="374">
        <f t="shared" si="0"/>
        <v>100</v>
      </c>
    </row>
    <row r="91" spans="1:8" ht="15">
      <c r="A91" s="371"/>
      <c r="B91" s="372"/>
      <c r="C91" s="351" t="s">
        <v>2001</v>
      </c>
      <c r="D91" s="375" t="s">
        <v>2015</v>
      </c>
      <c r="E91" s="374"/>
      <c r="F91" s="374">
        <v>155</v>
      </c>
      <c r="G91" s="374">
        <v>155</v>
      </c>
      <c r="H91" s="374">
        <f t="shared" si="0"/>
        <v>100</v>
      </c>
    </row>
    <row r="92" spans="1:8" ht="15">
      <c r="A92" s="371"/>
      <c r="B92" s="372"/>
      <c r="C92" s="351" t="s">
        <v>2002</v>
      </c>
      <c r="D92" s="375" t="s">
        <v>2016</v>
      </c>
      <c r="E92" s="374"/>
      <c r="F92" s="374">
        <v>500</v>
      </c>
      <c r="G92" s="374">
        <v>500</v>
      </c>
      <c r="H92" s="374">
        <f t="shared" si="0"/>
        <v>100</v>
      </c>
    </row>
    <row r="93" spans="1:8" ht="15">
      <c r="A93" s="371"/>
      <c r="B93" s="372"/>
      <c r="C93" s="351" t="s">
        <v>2003</v>
      </c>
      <c r="D93" s="375" t="s">
        <v>2017</v>
      </c>
      <c r="E93" s="374"/>
      <c r="F93" s="374">
        <v>200</v>
      </c>
      <c r="G93" s="374">
        <v>200</v>
      </c>
      <c r="H93" s="374">
        <f t="shared" si="0"/>
        <v>100</v>
      </c>
    </row>
    <row r="94" spans="1:8" ht="15">
      <c r="A94" s="371"/>
      <c r="B94" s="372"/>
      <c r="C94" s="351" t="s">
        <v>2004</v>
      </c>
      <c r="D94" s="375" t="s">
        <v>2018</v>
      </c>
      <c r="E94" s="374"/>
      <c r="F94" s="374">
        <v>60</v>
      </c>
      <c r="G94" s="374">
        <v>60</v>
      </c>
      <c r="H94" s="374">
        <f t="shared" si="0"/>
        <v>100</v>
      </c>
    </row>
    <row r="95" spans="1:8" ht="15">
      <c r="A95" s="371"/>
      <c r="B95" s="372"/>
      <c r="C95" s="351" t="s">
        <v>2005</v>
      </c>
      <c r="D95" s="375" t="s">
        <v>2019</v>
      </c>
      <c r="E95" s="374"/>
      <c r="F95" s="374">
        <v>80</v>
      </c>
      <c r="G95" s="374">
        <v>80</v>
      </c>
      <c r="H95" s="374">
        <f t="shared" si="0"/>
        <v>100</v>
      </c>
    </row>
    <row r="96" spans="1:8" ht="15" hidden="1">
      <c r="A96" s="371"/>
      <c r="B96" s="372"/>
      <c r="C96" s="351" t="s">
        <v>2006</v>
      </c>
      <c r="D96" s="375"/>
      <c r="E96" s="374"/>
      <c r="F96" s="374"/>
      <c r="G96" s="374"/>
      <c r="H96" s="374" t="e">
        <f t="shared" si="0"/>
        <v>#DIV/0!</v>
      </c>
    </row>
    <row r="97" spans="1:8" ht="15" hidden="1">
      <c r="A97" s="371"/>
      <c r="B97" s="372"/>
      <c r="C97" s="351" t="s">
        <v>2007</v>
      </c>
      <c r="D97" s="375"/>
      <c r="E97" s="374"/>
      <c r="F97" s="374"/>
      <c r="G97" s="374"/>
      <c r="H97" s="374" t="e">
        <f t="shared" ref="H97:H103" si="3">G97/F97*100</f>
        <v>#DIV/0!</v>
      </c>
    </row>
    <row r="98" spans="1:8" ht="15" hidden="1">
      <c r="A98" s="371"/>
      <c r="B98" s="372"/>
      <c r="C98" s="351" t="s">
        <v>1238</v>
      </c>
      <c r="D98" s="375" t="s">
        <v>1880</v>
      </c>
      <c r="E98" s="374"/>
      <c r="F98" s="374"/>
      <c r="G98" s="374"/>
      <c r="H98" s="374" t="e">
        <f t="shared" si="3"/>
        <v>#DIV/0!</v>
      </c>
    </row>
    <row r="99" spans="1:8" ht="15" hidden="1">
      <c r="A99" s="371"/>
      <c r="B99" s="372"/>
      <c r="C99" s="351" t="s">
        <v>1239</v>
      </c>
      <c r="D99" s="375" t="s">
        <v>1240</v>
      </c>
      <c r="E99" s="374"/>
      <c r="F99" s="374"/>
      <c r="G99" s="374"/>
      <c r="H99" s="374" t="e">
        <f t="shared" si="3"/>
        <v>#DIV/0!</v>
      </c>
    </row>
    <row r="100" spans="1:8" ht="15" hidden="1">
      <c r="A100" s="371"/>
      <c r="B100" s="372"/>
      <c r="C100" s="351" t="s">
        <v>1241</v>
      </c>
      <c r="D100" s="375" t="s">
        <v>1242</v>
      </c>
      <c r="E100" s="374"/>
      <c r="F100" s="374"/>
      <c r="G100" s="374"/>
      <c r="H100" s="374" t="e">
        <f t="shared" si="3"/>
        <v>#DIV/0!</v>
      </c>
    </row>
    <row r="101" spans="1:8" ht="15" hidden="1">
      <c r="A101" s="371"/>
      <c r="B101" s="372"/>
      <c r="C101" s="351" t="s">
        <v>1243</v>
      </c>
      <c r="D101" s="375" t="s">
        <v>1244</v>
      </c>
      <c r="E101" s="374"/>
      <c r="F101" s="374"/>
      <c r="G101" s="374"/>
      <c r="H101" s="374" t="e">
        <f t="shared" si="3"/>
        <v>#DIV/0!</v>
      </c>
    </row>
    <row r="102" spans="1:8" ht="15" hidden="1">
      <c r="A102" s="371"/>
      <c r="B102" s="372"/>
      <c r="C102" s="351" t="s">
        <v>1245</v>
      </c>
      <c r="D102" s="375" t="s">
        <v>1246</v>
      </c>
      <c r="E102" s="374"/>
      <c r="F102" s="374"/>
      <c r="G102" s="374"/>
      <c r="H102" s="374" t="e">
        <f t="shared" si="3"/>
        <v>#DIV/0!</v>
      </c>
    </row>
    <row r="103" spans="1:8" ht="15" hidden="1">
      <c r="A103" s="371"/>
      <c r="B103" s="372"/>
      <c r="C103" s="351" t="s">
        <v>1247</v>
      </c>
      <c r="D103" s="375" t="s">
        <v>1248</v>
      </c>
      <c r="E103" s="374"/>
      <c r="F103" s="374"/>
      <c r="G103" s="374"/>
      <c r="H103" s="374" t="e">
        <f t="shared" si="3"/>
        <v>#DIV/0!</v>
      </c>
    </row>
    <row r="104" spans="1:8" ht="15" hidden="1">
      <c r="A104" s="371"/>
      <c r="B104" s="372"/>
      <c r="C104" s="351" t="s">
        <v>1249</v>
      </c>
      <c r="D104" s="375" t="s">
        <v>1250</v>
      </c>
      <c r="E104" s="374"/>
      <c r="F104" s="374"/>
      <c r="G104" s="374"/>
      <c r="H104" s="374" t="e">
        <f>G104/F104*100</f>
        <v>#DIV/0!</v>
      </c>
    </row>
    <row r="105" spans="1:8" ht="14.25">
      <c r="A105" s="371"/>
      <c r="B105" s="372"/>
      <c r="C105" s="378" t="s">
        <v>615</v>
      </c>
      <c r="D105" s="379" t="s">
        <v>616</v>
      </c>
      <c r="E105" s="380">
        <f>SUM(E106:E115)-E109-E108</f>
        <v>33226</v>
      </c>
      <c r="F105" s="380">
        <f>SUM(F106:F123)-F109-F108</f>
        <v>60715</v>
      </c>
      <c r="G105" s="380">
        <f>SUM(G106:G123)-G109-G108</f>
        <v>36707</v>
      </c>
      <c r="H105" s="380">
        <f t="shared" si="0"/>
        <v>60.457876966153336</v>
      </c>
    </row>
    <row r="106" spans="1:8" ht="15">
      <c r="A106" s="371"/>
      <c r="B106" s="372"/>
      <c r="C106" s="381" t="s">
        <v>617</v>
      </c>
      <c r="D106" s="373" t="s">
        <v>618</v>
      </c>
      <c r="E106" s="374">
        <v>1000</v>
      </c>
      <c r="F106" s="374">
        <v>0</v>
      </c>
      <c r="G106" s="374">
        <v>0</v>
      </c>
      <c r="H106" s="374"/>
    </row>
    <row r="107" spans="1:8" ht="15">
      <c r="A107" s="371"/>
      <c r="B107" s="372"/>
      <c r="C107" s="381" t="s">
        <v>619</v>
      </c>
      <c r="D107" s="373" t="s">
        <v>620</v>
      </c>
      <c r="E107" s="374">
        <f>SUM(E108:E109)</f>
        <v>790</v>
      </c>
      <c r="F107" s="374">
        <f t="shared" ref="F107:G107" si="4">SUM(F108:F109)</f>
        <v>800</v>
      </c>
      <c r="G107" s="374">
        <f t="shared" si="4"/>
        <v>800</v>
      </c>
      <c r="H107" s="374">
        <f t="shared" si="0"/>
        <v>100</v>
      </c>
    </row>
    <row r="108" spans="1:8" ht="15">
      <c r="A108" s="371"/>
      <c r="B108" s="372"/>
      <c r="C108" s="381" t="s">
        <v>621</v>
      </c>
      <c r="D108" s="382" t="s">
        <v>622</v>
      </c>
      <c r="E108" s="383">
        <v>390</v>
      </c>
      <c r="F108" s="383">
        <v>400</v>
      </c>
      <c r="G108" s="383">
        <v>400</v>
      </c>
      <c r="H108" s="383">
        <f t="shared" si="0"/>
        <v>100</v>
      </c>
    </row>
    <row r="109" spans="1:8" ht="15">
      <c r="A109" s="371"/>
      <c r="B109" s="372"/>
      <c r="C109" s="381" t="s">
        <v>623</v>
      </c>
      <c r="D109" s="382" t="s">
        <v>624</v>
      </c>
      <c r="E109" s="383">
        <v>400</v>
      </c>
      <c r="F109" s="383">
        <v>400</v>
      </c>
      <c r="G109" s="383">
        <v>400</v>
      </c>
      <c r="H109" s="383">
        <f t="shared" si="0"/>
        <v>100</v>
      </c>
    </row>
    <row r="110" spans="1:8" ht="15">
      <c r="A110" s="371"/>
      <c r="B110" s="372"/>
      <c r="C110" s="381" t="s">
        <v>625</v>
      </c>
      <c r="D110" s="373" t="s">
        <v>47</v>
      </c>
      <c r="E110" s="374">
        <v>0</v>
      </c>
      <c r="F110" s="374">
        <v>305</v>
      </c>
      <c r="G110" s="374">
        <v>0</v>
      </c>
      <c r="H110" s="374">
        <f t="shared" si="0"/>
        <v>0</v>
      </c>
    </row>
    <row r="111" spans="1:8" ht="15">
      <c r="A111" s="371"/>
      <c r="B111" s="372"/>
      <c r="C111" s="381" t="s">
        <v>626</v>
      </c>
      <c r="D111" s="373" t="s">
        <v>627</v>
      </c>
      <c r="E111" s="374">
        <v>25000</v>
      </c>
      <c r="F111" s="374">
        <v>25644</v>
      </c>
      <c r="G111" s="374">
        <v>2000</v>
      </c>
      <c r="H111" s="374">
        <f t="shared" si="0"/>
        <v>7.7990953049446272</v>
      </c>
    </row>
    <row r="112" spans="1:8" ht="15">
      <c r="A112" s="371"/>
      <c r="B112" s="372"/>
      <c r="C112" s="381" t="s">
        <v>628</v>
      </c>
      <c r="D112" s="375" t="s">
        <v>629</v>
      </c>
      <c r="E112" s="374">
        <v>1000</v>
      </c>
      <c r="F112" s="374">
        <v>1500</v>
      </c>
      <c r="G112" s="374">
        <v>1500</v>
      </c>
      <c r="H112" s="374">
        <f t="shared" si="0"/>
        <v>100</v>
      </c>
    </row>
    <row r="113" spans="1:13" ht="15">
      <c r="A113" s="371"/>
      <c r="B113" s="372"/>
      <c r="C113" s="381" t="s">
        <v>630</v>
      </c>
      <c r="D113" s="375" t="s">
        <v>631</v>
      </c>
      <c r="E113" s="374">
        <v>2800</v>
      </c>
      <c r="F113" s="374">
        <v>2800</v>
      </c>
      <c r="G113" s="374">
        <v>2800</v>
      </c>
      <c r="H113" s="374">
        <f t="shared" si="0"/>
        <v>100</v>
      </c>
    </row>
    <row r="114" spans="1:13" ht="15">
      <c r="A114" s="371"/>
      <c r="B114" s="372"/>
      <c r="C114" s="381" t="s">
        <v>632</v>
      </c>
      <c r="D114" s="373" t="s">
        <v>633</v>
      </c>
      <c r="E114" s="374">
        <v>2136</v>
      </c>
      <c r="F114" s="308">
        <v>0</v>
      </c>
      <c r="G114" s="308">
        <v>0</v>
      </c>
      <c r="H114" s="374"/>
    </row>
    <row r="115" spans="1:13" ht="15">
      <c r="A115" s="371"/>
      <c r="B115" s="372"/>
      <c r="C115" s="381" t="s">
        <v>634</v>
      </c>
      <c r="D115" s="375" t="s">
        <v>1281</v>
      </c>
      <c r="E115" s="374">
        <v>500</v>
      </c>
      <c r="F115" s="374">
        <v>500</v>
      </c>
      <c r="G115" s="374">
        <v>500</v>
      </c>
      <c r="H115" s="374">
        <f t="shared" si="0"/>
        <v>100</v>
      </c>
    </row>
    <row r="116" spans="1:13" ht="15">
      <c r="A116" s="371"/>
      <c r="B116" s="372"/>
      <c r="C116" s="381" t="s">
        <v>635</v>
      </c>
      <c r="D116" s="373" t="s">
        <v>1746</v>
      </c>
      <c r="E116" s="374"/>
      <c r="F116" s="374">
        <v>1000</v>
      </c>
      <c r="G116" s="374">
        <v>1000</v>
      </c>
      <c r="H116" s="374">
        <f t="shared" si="0"/>
        <v>100</v>
      </c>
    </row>
    <row r="117" spans="1:13" ht="15">
      <c r="A117" s="371"/>
      <c r="B117" s="372"/>
      <c r="C117" s="381" t="s">
        <v>636</v>
      </c>
      <c r="D117" s="373" t="s">
        <v>637</v>
      </c>
      <c r="E117" s="374"/>
      <c r="F117" s="374">
        <v>750</v>
      </c>
      <c r="G117" s="374">
        <v>750</v>
      </c>
      <c r="H117" s="374">
        <f t="shared" si="0"/>
        <v>100</v>
      </c>
    </row>
    <row r="118" spans="1:13" ht="15">
      <c r="A118" s="371"/>
      <c r="B118" s="372"/>
      <c r="C118" s="381" t="s">
        <v>638</v>
      </c>
      <c r="D118" s="373" t="s">
        <v>639</v>
      </c>
      <c r="E118" s="374"/>
      <c r="F118" s="374">
        <v>316</v>
      </c>
      <c r="G118" s="374">
        <v>308</v>
      </c>
      <c r="H118" s="374">
        <f t="shared" si="0"/>
        <v>97.468354430379748</v>
      </c>
    </row>
    <row r="119" spans="1:13" ht="15">
      <c r="A119" s="371"/>
      <c r="B119" s="372"/>
      <c r="C119" s="381" t="s">
        <v>640</v>
      </c>
      <c r="D119" s="373" t="s">
        <v>641</v>
      </c>
      <c r="E119" s="374"/>
      <c r="F119" s="374">
        <v>774</v>
      </c>
      <c r="G119" s="374">
        <v>774</v>
      </c>
      <c r="H119" s="374">
        <f t="shared" si="0"/>
        <v>100</v>
      </c>
    </row>
    <row r="120" spans="1:13" ht="15">
      <c r="A120" s="371"/>
      <c r="B120" s="372"/>
      <c r="C120" s="381" t="s">
        <v>642</v>
      </c>
      <c r="D120" s="373" t="s">
        <v>643</v>
      </c>
      <c r="E120" s="374"/>
      <c r="F120" s="374">
        <v>370</v>
      </c>
      <c r="G120" s="374">
        <v>370</v>
      </c>
      <c r="H120" s="374">
        <f t="shared" ref="H120:H123" si="5">G120/F120*100</f>
        <v>100</v>
      </c>
    </row>
    <row r="121" spans="1:13" ht="15">
      <c r="A121" s="371"/>
      <c r="B121" s="372"/>
      <c r="C121" s="381" t="s">
        <v>1750</v>
      </c>
      <c r="D121" s="373" t="s">
        <v>645</v>
      </c>
      <c r="E121" s="374"/>
      <c r="F121" s="374">
        <v>298</v>
      </c>
      <c r="G121" s="374">
        <v>298</v>
      </c>
      <c r="H121" s="374">
        <f t="shared" si="5"/>
        <v>100</v>
      </c>
    </row>
    <row r="122" spans="1:13" ht="15">
      <c r="A122" s="371"/>
      <c r="B122" s="372"/>
      <c r="C122" s="381" t="s">
        <v>644</v>
      </c>
      <c r="D122" s="373" t="s">
        <v>1751</v>
      </c>
      <c r="E122" s="374"/>
      <c r="F122" s="374">
        <v>286</v>
      </c>
      <c r="G122" s="374">
        <v>235</v>
      </c>
      <c r="H122" s="374">
        <f t="shared" si="5"/>
        <v>82.167832167832159</v>
      </c>
    </row>
    <row r="123" spans="1:13" ht="15">
      <c r="A123" s="371"/>
      <c r="B123" s="372"/>
      <c r="C123" s="381" t="s">
        <v>1999</v>
      </c>
      <c r="D123" s="373" t="s">
        <v>2000</v>
      </c>
      <c r="E123" s="374"/>
      <c r="F123" s="374">
        <v>25372</v>
      </c>
      <c r="G123" s="374">
        <v>25372</v>
      </c>
      <c r="H123" s="374">
        <f t="shared" si="5"/>
        <v>100</v>
      </c>
    </row>
    <row r="124" spans="1:13" ht="14.25">
      <c r="A124" s="371"/>
      <c r="B124" s="372"/>
      <c r="C124" s="378" t="s">
        <v>646</v>
      </c>
      <c r="D124" s="379" t="s">
        <v>647</v>
      </c>
      <c r="E124" s="811">
        <v>8000</v>
      </c>
      <c r="F124" s="380">
        <v>8000</v>
      </c>
      <c r="G124" s="380"/>
      <c r="H124" s="380">
        <f t="shared" si="0"/>
        <v>0</v>
      </c>
    </row>
    <row r="125" spans="1:13" ht="15">
      <c r="A125" s="384"/>
      <c r="B125" s="367" t="s">
        <v>437</v>
      </c>
      <c r="C125" s="385"/>
      <c r="D125" s="386" t="s">
        <v>648</v>
      </c>
      <c r="E125" s="387">
        <f>SUM(E126:E129)</f>
        <v>17000</v>
      </c>
      <c r="F125" s="387">
        <f>SUM(F126:F129)</f>
        <v>23842</v>
      </c>
      <c r="G125" s="387">
        <f>SUM(G126:G129)</f>
        <v>21842</v>
      </c>
      <c r="H125" s="387">
        <f t="shared" si="0"/>
        <v>91.611441993121375</v>
      </c>
      <c r="L125" s="322"/>
    </row>
    <row r="126" spans="1:13" ht="15">
      <c r="A126" s="384"/>
      <c r="B126" s="367"/>
      <c r="C126" s="368" t="s">
        <v>649</v>
      </c>
      <c r="D126" s="375" t="s">
        <v>650</v>
      </c>
      <c r="E126" s="788">
        <v>4500</v>
      </c>
      <c r="F126" s="374">
        <v>10361</v>
      </c>
      <c r="G126" s="374">
        <v>8361</v>
      </c>
      <c r="H126" s="374">
        <f t="shared" si="0"/>
        <v>80.696843933983203</v>
      </c>
      <c r="I126" s="303"/>
      <c r="M126" s="322"/>
    </row>
    <row r="127" spans="1:13" ht="15">
      <c r="A127" s="384"/>
      <c r="B127" s="367"/>
      <c r="C127" s="368" t="s">
        <v>651</v>
      </c>
      <c r="D127" s="375" t="s">
        <v>652</v>
      </c>
      <c r="E127" s="788">
        <v>4500</v>
      </c>
      <c r="F127" s="374">
        <v>3465</v>
      </c>
      <c r="G127" s="374">
        <v>3465</v>
      </c>
      <c r="H127" s="374">
        <f t="shared" si="0"/>
        <v>100</v>
      </c>
    </row>
    <row r="128" spans="1:13" ht="15.75" customHeight="1">
      <c r="A128" s="384"/>
      <c r="B128" s="367"/>
      <c r="C128" s="368" t="s">
        <v>653</v>
      </c>
      <c r="D128" s="375" t="s">
        <v>654</v>
      </c>
      <c r="E128" s="788">
        <v>7000</v>
      </c>
      <c r="F128" s="374">
        <v>9055</v>
      </c>
      <c r="G128" s="374">
        <v>9055</v>
      </c>
      <c r="H128" s="374">
        <f t="shared" ref="H128:H191" si="6">G128/F128*100</f>
        <v>100</v>
      </c>
    </row>
    <row r="129" spans="1:12" ht="15">
      <c r="A129" s="384"/>
      <c r="B129" s="367"/>
      <c r="C129" s="368" t="s">
        <v>655</v>
      </c>
      <c r="D129" s="375" t="s">
        <v>656</v>
      </c>
      <c r="E129" s="788">
        <v>1000</v>
      </c>
      <c r="F129" s="374">
        <v>961</v>
      </c>
      <c r="G129" s="374">
        <v>961</v>
      </c>
      <c r="H129" s="374">
        <f t="shared" si="6"/>
        <v>100</v>
      </c>
    </row>
    <row r="130" spans="1:12" ht="19.5" customHeight="1">
      <c r="A130" s="1933" t="s">
        <v>657</v>
      </c>
      <c r="B130" s="1933"/>
      <c r="C130" s="1933"/>
      <c r="D130" s="1933"/>
      <c r="E130" s="388">
        <f>E4+E7+E13+E34+E125+E21+E33</f>
        <v>256487</v>
      </c>
      <c r="F130" s="388">
        <f>F4+F7+F13+F34+F125+F21+F33</f>
        <v>441330</v>
      </c>
      <c r="G130" s="388">
        <f>G4+G7+G13+G34+G125+G21+G33</f>
        <v>338301</v>
      </c>
      <c r="H130" s="388">
        <f t="shared" si="6"/>
        <v>76.654884100333092</v>
      </c>
      <c r="K130" s="274"/>
    </row>
    <row r="131" spans="1:12" ht="15">
      <c r="A131" s="296"/>
      <c r="B131" s="279" t="s">
        <v>439</v>
      </c>
      <c r="C131" s="280"/>
      <c r="D131" s="342" t="s">
        <v>202</v>
      </c>
      <c r="E131" s="343">
        <f>E132+E133</f>
        <v>143605</v>
      </c>
      <c r="F131" s="343">
        <f>F132+F133</f>
        <v>83746</v>
      </c>
      <c r="G131" s="343">
        <f>G132+G133</f>
        <v>0</v>
      </c>
      <c r="H131" s="343">
        <f t="shared" si="6"/>
        <v>0</v>
      </c>
      <c r="L131" s="322"/>
    </row>
    <row r="132" spans="1:12" ht="15">
      <c r="A132" s="296"/>
      <c r="B132" s="279"/>
      <c r="C132" s="351" t="s">
        <v>658</v>
      </c>
      <c r="D132" s="369" t="s">
        <v>659</v>
      </c>
      <c r="E132" s="298"/>
      <c r="F132" s="298">
        <v>692</v>
      </c>
      <c r="G132" s="298">
        <v>0</v>
      </c>
      <c r="H132" s="298"/>
      <c r="K132" s="274"/>
    </row>
    <row r="133" spans="1:12" ht="15">
      <c r="A133" s="296"/>
      <c r="B133" s="279"/>
      <c r="C133" s="350" t="s">
        <v>660</v>
      </c>
      <c r="D133" s="369" t="s">
        <v>154</v>
      </c>
      <c r="E133" s="340">
        <f>SUM('7.1. sz mell.'!I112)</f>
        <v>143605</v>
      </c>
      <c r="F133" s="340">
        <f>SUM('7.1. sz mell.'!J112)</f>
        <v>83054</v>
      </c>
      <c r="G133" s="340">
        <f>SUM('7.1. sz mell.'!K112)</f>
        <v>0</v>
      </c>
      <c r="H133" s="340">
        <f t="shared" si="6"/>
        <v>0</v>
      </c>
      <c r="K133" s="274"/>
    </row>
    <row r="134" spans="1:12" ht="19.5" customHeight="1">
      <c r="A134" s="1933" t="s">
        <v>661</v>
      </c>
      <c r="B134" s="1933" t="s">
        <v>442</v>
      </c>
      <c r="C134" s="1933"/>
      <c r="D134" s="1933" t="s">
        <v>443</v>
      </c>
      <c r="E134" s="311">
        <f>E131</f>
        <v>143605</v>
      </c>
      <c r="F134" s="311">
        <f>F131</f>
        <v>83746</v>
      </c>
      <c r="G134" s="311">
        <f>G131</f>
        <v>0</v>
      </c>
      <c r="H134" s="311">
        <f t="shared" si="6"/>
        <v>0</v>
      </c>
      <c r="K134" s="274"/>
    </row>
    <row r="135" spans="1:12" ht="19.5" customHeight="1">
      <c r="A135" s="1933" t="s">
        <v>662</v>
      </c>
      <c r="B135" s="1933"/>
      <c r="C135" s="1933"/>
      <c r="D135" s="1933"/>
      <c r="E135" s="311">
        <f>E130+E134</f>
        <v>400092</v>
      </c>
      <c r="F135" s="311">
        <f>F130+F134</f>
        <v>525076</v>
      </c>
      <c r="G135" s="311">
        <f>G130+G134</f>
        <v>338301</v>
      </c>
      <c r="H135" s="311">
        <f t="shared" si="6"/>
        <v>64.428958855479962</v>
      </c>
      <c r="K135" s="274"/>
    </row>
    <row r="136" spans="1:12" ht="15">
      <c r="A136" s="296"/>
      <c r="B136" s="279" t="s">
        <v>442</v>
      </c>
      <c r="C136" s="280"/>
      <c r="D136" s="342" t="s">
        <v>663</v>
      </c>
      <c r="E136" s="343"/>
      <c r="F136" s="343"/>
      <c r="G136" s="343">
        <v>1404043</v>
      </c>
      <c r="H136" s="343"/>
      <c r="L136" s="322"/>
    </row>
    <row r="137" spans="1:12" ht="15">
      <c r="A137" s="296"/>
      <c r="B137" s="279" t="s">
        <v>664</v>
      </c>
      <c r="C137" s="280"/>
      <c r="D137" s="342" t="s">
        <v>665</v>
      </c>
      <c r="E137" s="343"/>
      <c r="F137" s="343"/>
      <c r="G137" s="343">
        <v>668286</v>
      </c>
      <c r="H137" s="343"/>
      <c r="L137" s="322"/>
    </row>
    <row r="138" spans="1:12" ht="15" hidden="1">
      <c r="A138" s="278"/>
      <c r="B138" s="279"/>
      <c r="C138" s="351" t="s">
        <v>666</v>
      </c>
      <c r="D138" s="297" t="s">
        <v>667</v>
      </c>
      <c r="E138" s="298"/>
      <c r="F138" s="298"/>
      <c r="G138" s="298"/>
      <c r="H138" s="298"/>
    </row>
    <row r="139" spans="1:12" ht="15" hidden="1" customHeight="1">
      <c r="A139" s="278"/>
      <c r="B139" s="279"/>
      <c r="C139" s="351" t="s">
        <v>668</v>
      </c>
      <c r="D139" s="297" t="s">
        <v>669</v>
      </c>
      <c r="E139" s="302"/>
      <c r="F139" s="302"/>
      <c r="G139" s="302"/>
      <c r="H139" s="302"/>
    </row>
    <row r="140" spans="1:12" ht="15" hidden="1" customHeight="1">
      <c r="A140" s="278"/>
      <c r="B140" s="279"/>
      <c r="C140" s="351" t="s">
        <v>670</v>
      </c>
      <c r="D140" s="297" t="s">
        <v>671</v>
      </c>
      <c r="E140" s="298"/>
      <c r="F140" s="298"/>
      <c r="G140" s="298"/>
      <c r="H140" s="298"/>
    </row>
    <row r="141" spans="1:12" ht="15" hidden="1" customHeight="1">
      <c r="A141" s="278"/>
      <c r="B141" s="279"/>
      <c r="C141" s="351" t="s">
        <v>672</v>
      </c>
      <c r="D141" s="297" t="s">
        <v>673</v>
      </c>
      <c r="E141" s="308"/>
      <c r="F141" s="308"/>
      <c r="G141" s="308"/>
      <c r="H141" s="308"/>
    </row>
    <row r="142" spans="1:12" ht="15" hidden="1" customHeight="1">
      <c r="A142" s="278"/>
      <c r="B142" s="279"/>
      <c r="C142" s="351" t="s">
        <v>674</v>
      </c>
      <c r="D142" s="297" t="s">
        <v>675</v>
      </c>
      <c r="E142" s="298"/>
      <c r="F142" s="298"/>
      <c r="G142" s="298"/>
      <c r="H142" s="298"/>
    </row>
    <row r="143" spans="1:12" ht="15" hidden="1" customHeight="1">
      <c r="A143" s="278"/>
      <c r="B143" s="279"/>
      <c r="C143" s="351" t="s">
        <v>676</v>
      </c>
      <c r="D143" s="297" t="s">
        <v>677</v>
      </c>
      <c r="E143" s="298"/>
      <c r="F143" s="298"/>
      <c r="G143" s="298"/>
      <c r="H143" s="298"/>
    </row>
    <row r="144" spans="1:12" ht="19.5" customHeight="1">
      <c r="A144" s="1933" t="s">
        <v>678</v>
      </c>
      <c r="B144" s="1933"/>
      <c r="C144" s="1933"/>
      <c r="D144" s="1933"/>
      <c r="E144" s="311">
        <f>E137+E136</f>
        <v>0</v>
      </c>
      <c r="F144" s="311">
        <f>F137+F136</f>
        <v>0</v>
      </c>
      <c r="G144" s="311">
        <f>G137+G136</f>
        <v>2072329</v>
      </c>
      <c r="H144" s="311"/>
      <c r="K144" s="274"/>
    </row>
    <row r="145" spans="1:17" ht="19.5" customHeight="1">
      <c r="A145" s="1925" t="s">
        <v>679</v>
      </c>
      <c r="B145" s="1925"/>
      <c r="C145" s="1925"/>
      <c r="D145" s="1925"/>
      <c r="E145" s="320">
        <f>E144+E135</f>
        <v>400092</v>
      </c>
      <c r="F145" s="320">
        <f>F144+F135</f>
        <v>525076</v>
      </c>
      <c r="G145" s="320">
        <f>G144+G135</f>
        <v>2410630</v>
      </c>
      <c r="H145" s="320">
        <f t="shared" si="6"/>
        <v>459.10115868940881</v>
      </c>
      <c r="I145" s="333"/>
      <c r="J145" s="333"/>
      <c r="K145" s="333"/>
      <c r="P145" s="322"/>
      <c r="Q145" s="322"/>
    </row>
    <row r="146" spans="1:17" ht="12.75" customHeight="1">
      <c r="A146" s="389"/>
      <c r="B146" s="390"/>
      <c r="C146" s="390"/>
      <c r="D146" s="390"/>
      <c r="E146" s="391"/>
      <c r="F146" s="391"/>
      <c r="G146" s="391"/>
      <c r="H146" s="391"/>
      <c r="I146" s="333"/>
      <c r="J146" s="333"/>
      <c r="K146" s="333"/>
    </row>
    <row r="147" spans="1:17" ht="19.5" customHeight="1">
      <c r="A147" s="392" t="s">
        <v>680</v>
      </c>
      <c r="B147" s="393"/>
      <c r="C147" s="394"/>
      <c r="D147" s="392"/>
      <c r="E147" s="395"/>
      <c r="F147" s="395"/>
      <c r="G147" s="395"/>
      <c r="H147" s="395"/>
      <c r="I147" s="333"/>
      <c r="J147" s="333"/>
      <c r="K147" s="333"/>
    </row>
    <row r="148" spans="1:17" s="289" customFormat="1" ht="16.5">
      <c r="A148" s="321"/>
      <c r="B148" s="285"/>
      <c r="C148" s="286" t="s">
        <v>6</v>
      </c>
      <c r="D148" s="287" t="s">
        <v>681</v>
      </c>
      <c r="E148" s="288">
        <f>SUM('6.1.sz.mell. '!H4)</f>
        <v>25000</v>
      </c>
      <c r="F148" s="288">
        <f>SUM('6.1.sz.mell. '!J4)</f>
        <v>29420</v>
      </c>
      <c r="G148" s="288">
        <f>SUM('6.1.sz.mell. '!K4)</f>
        <v>28867</v>
      </c>
      <c r="H148" s="288">
        <f t="shared" si="6"/>
        <v>98.120326308633594</v>
      </c>
    </row>
    <row r="149" spans="1:17" s="289" customFormat="1" ht="16.5">
      <c r="A149" s="321"/>
      <c r="B149" s="285"/>
      <c r="C149" s="286" t="s">
        <v>8</v>
      </c>
      <c r="D149" s="287" t="s">
        <v>133</v>
      </c>
      <c r="E149" s="288">
        <f>SUM('6.2.sz.mell.'!H3)</f>
        <v>91500</v>
      </c>
      <c r="F149" s="288">
        <f>SUM('6.2.sz.mell.'!J3)</f>
        <v>737794</v>
      </c>
      <c r="G149" s="288">
        <f>SUM('6.2.sz.mell.'!K3)</f>
        <v>518336</v>
      </c>
      <c r="H149" s="288">
        <f t="shared" si="6"/>
        <v>70.254840782115338</v>
      </c>
    </row>
    <row r="150" spans="1:17" s="289" customFormat="1" ht="16.5">
      <c r="A150" s="321"/>
      <c r="B150" s="285"/>
      <c r="C150" s="286" t="s">
        <v>10</v>
      </c>
      <c r="D150" s="287" t="s">
        <v>147</v>
      </c>
      <c r="E150" s="288">
        <f>E151</f>
        <v>0</v>
      </c>
      <c r="F150" s="288">
        <f>F151</f>
        <v>1000</v>
      </c>
      <c r="G150" s="288">
        <f>G151</f>
        <v>1000</v>
      </c>
      <c r="H150" s="288"/>
    </row>
    <row r="151" spans="1:17" ht="15" customHeight="1">
      <c r="A151" s="278"/>
      <c r="B151" s="279"/>
      <c r="C151" s="351" t="s">
        <v>480</v>
      </c>
      <c r="D151" s="297" t="s">
        <v>682</v>
      </c>
      <c r="E151" s="298"/>
      <c r="F151" s="298">
        <v>1000</v>
      </c>
      <c r="G151" s="298">
        <v>1000</v>
      </c>
      <c r="H151" s="298"/>
    </row>
    <row r="152" spans="1:17" s="289" customFormat="1" ht="16.5">
      <c r="A152" s="321"/>
      <c r="B152" s="285"/>
      <c r="C152" s="286" t="s">
        <v>12</v>
      </c>
      <c r="D152" s="287" t="s">
        <v>139</v>
      </c>
      <c r="E152" s="288"/>
      <c r="F152" s="288">
        <v>125</v>
      </c>
      <c r="G152" s="288">
        <v>125</v>
      </c>
      <c r="H152" s="288"/>
    </row>
    <row r="153" spans="1:17" s="289" customFormat="1" ht="16.5">
      <c r="A153" s="321"/>
      <c r="B153" s="285"/>
      <c r="C153" s="286" t="s">
        <v>14</v>
      </c>
      <c r="D153" s="287" t="s">
        <v>683</v>
      </c>
      <c r="E153" s="288">
        <f>E154+E155</f>
        <v>51432</v>
      </c>
      <c r="F153" s="288">
        <f>F154+F155</f>
        <v>10292</v>
      </c>
      <c r="G153" s="288">
        <f>G154+G155</f>
        <v>90</v>
      </c>
      <c r="H153" s="288">
        <f t="shared" si="6"/>
        <v>0.87446560435289544</v>
      </c>
    </row>
    <row r="154" spans="1:17" ht="15">
      <c r="A154" s="371"/>
      <c r="B154" s="372"/>
      <c r="C154" s="381" t="s">
        <v>684</v>
      </c>
      <c r="D154" s="373" t="s">
        <v>685</v>
      </c>
      <c r="E154" s="374"/>
      <c r="F154" s="374">
        <v>90</v>
      </c>
      <c r="G154" s="374">
        <v>90</v>
      </c>
      <c r="H154" s="374">
        <f t="shared" si="6"/>
        <v>100</v>
      </c>
    </row>
    <row r="155" spans="1:17" ht="15">
      <c r="A155" s="371"/>
      <c r="B155" s="372"/>
      <c r="C155" s="381" t="s">
        <v>686</v>
      </c>
      <c r="D155" s="373" t="s">
        <v>1280</v>
      </c>
      <c r="E155" s="374">
        <v>51432</v>
      </c>
      <c r="F155" s="374">
        <v>10202</v>
      </c>
      <c r="G155" s="374">
        <v>0</v>
      </c>
      <c r="H155" s="374">
        <f t="shared" si="6"/>
        <v>0</v>
      </c>
    </row>
    <row r="156" spans="1:17" s="289" customFormat="1" ht="16.5">
      <c r="A156" s="321"/>
      <c r="B156" s="285"/>
      <c r="C156" s="286" t="s">
        <v>16</v>
      </c>
      <c r="D156" s="287" t="s">
        <v>687</v>
      </c>
      <c r="E156" s="288"/>
      <c r="F156" s="288">
        <v>6831</v>
      </c>
      <c r="G156" s="288">
        <v>0</v>
      </c>
      <c r="H156" s="288"/>
    </row>
    <row r="157" spans="1:17" s="289" customFormat="1" ht="16.5">
      <c r="A157" s="396"/>
      <c r="B157" s="397"/>
      <c r="C157" s="398" t="s">
        <v>18</v>
      </c>
      <c r="D157" s="287" t="s">
        <v>688</v>
      </c>
      <c r="E157" s="399">
        <v>10000</v>
      </c>
      <c r="F157" s="399">
        <v>0</v>
      </c>
      <c r="G157" s="399">
        <v>0</v>
      </c>
      <c r="H157" s="399"/>
    </row>
    <row r="158" spans="1:17" s="289" customFormat="1" ht="16.5">
      <c r="A158" s="396"/>
      <c r="B158" s="397"/>
      <c r="C158" s="398" t="s">
        <v>494</v>
      </c>
      <c r="D158" s="287" t="s">
        <v>689</v>
      </c>
      <c r="E158" s="399">
        <f>SUM(E159:E163)</f>
        <v>44500</v>
      </c>
      <c r="F158" s="399">
        <f>SUM(F159:F163)</f>
        <v>44500</v>
      </c>
      <c r="G158" s="399">
        <f>SUM(G159:G163)</f>
        <v>25308</v>
      </c>
      <c r="H158" s="399">
        <f t="shared" si="6"/>
        <v>56.871910112359544</v>
      </c>
    </row>
    <row r="159" spans="1:17" s="289" customFormat="1" ht="16.5">
      <c r="A159" s="396"/>
      <c r="B159" s="397"/>
      <c r="C159" s="381" t="s">
        <v>747</v>
      </c>
      <c r="D159" s="799" t="s">
        <v>690</v>
      </c>
      <c r="E159" s="784">
        <v>5250</v>
      </c>
      <c r="F159" s="355">
        <v>5250</v>
      </c>
      <c r="G159" s="355">
        <v>5002</v>
      </c>
      <c r="H159" s="355">
        <f t="shared" si="6"/>
        <v>95.276190476190479</v>
      </c>
    </row>
    <row r="160" spans="1:17" s="289" customFormat="1" ht="16.5">
      <c r="A160" s="396"/>
      <c r="B160" s="397"/>
      <c r="C160" s="381" t="s">
        <v>1275</v>
      </c>
      <c r="D160" s="799" t="s">
        <v>691</v>
      </c>
      <c r="E160" s="784">
        <v>11250</v>
      </c>
      <c r="F160" s="355">
        <v>11250</v>
      </c>
      <c r="G160" s="355">
        <v>4435</v>
      </c>
      <c r="H160" s="355">
        <f t="shared" si="6"/>
        <v>39.422222222222217</v>
      </c>
    </row>
    <row r="161" spans="1:11" s="289" customFormat="1" ht="16.5">
      <c r="A161" s="396"/>
      <c r="B161" s="397"/>
      <c r="C161" s="381" t="s">
        <v>1276</v>
      </c>
      <c r="D161" s="799" t="s">
        <v>692</v>
      </c>
      <c r="E161" s="784">
        <v>2625</v>
      </c>
      <c r="F161" s="355">
        <v>2625</v>
      </c>
      <c r="G161" s="355">
        <v>1726</v>
      </c>
      <c r="H161" s="355">
        <f t="shared" si="6"/>
        <v>65.752380952380946</v>
      </c>
    </row>
    <row r="162" spans="1:11" s="289" customFormat="1" ht="16.5">
      <c r="A162" s="396"/>
      <c r="B162" s="397"/>
      <c r="C162" s="381" t="s">
        <v>1277</v>
      </c>
      <c r="D162" s="799" t="s">
        <v>693</v>
      </c>
      <c r="E162" s="784">
        <v>6750</v>
      </c>
      <c r="F162" s="355">
        <v>6750</v>
      </c>
      <c r="G162" s="355">
        <v>5521</v>
      </c>
      <c r="H162" s="355">
        <f t="shared" si="6"/>
        <v>81.792592592592598</v>
      </c>
    </row>
    <row r="163" spans="1:11" s="289" customFormat="1" ht="16.5">
      <c r="A163" s="396"/>
      <c r="B163" s="397"/>
      <c r="C163" s="381" t="s">
        <v>1278</v>
      </c>
      <c r="D163" s="799" t="s">
        <v>694</v>
      </c>
      <c r="E163" s="784">
        <v>18625</v>
      </c>
      <c r="F163" s="355">
        <v>18625</v>
      </c>
      <c r="G163" s="355">
        <v>8624</v>
      </c>
      <c r="H163" s="355">
        <f t="shared" si="6"/>
        <v>46.303355704697985</v>
      </c>
    </row>
    <row r="164" spans="1:11" ht="19.5" customHeight="1">
      <c r="A164" s="1933" t="s">
        <v>695</v>
      </c>
      <c r="B164" s="1933"/>
      <c r="C164" s="1933"/>
      <c r="D164" s="1933" t="s">
        <v>489</v>
      </c>
      <c r="E164" s="388">
        <f>E148+E149+E150+E152+E153+E156+E157+E158</f>
        <v>222432</v>
      </c>
      <c r="F164" s="388">
        <f>F148+F149+F150+F152+F153+F156+F157+F158</f>
        <v>829962</v>
      </c>
      <c r="G164" s="388">
        <f>G148+G149+G150+G152+G153+G156+G157+G158</f>
        <v>573726</v>
      </c>
      <c r="H164" s="388">
        <f t="shared" si="6"/>
        <v>69.126779298329325</v>
      </c>
      <c r="K164" s="274"/>
    </row>
    <row r="165" spans="1:11" s="289" customFormat="1" ht="16.5">
      <c r="A165" s="321"/>
      <c r="B165" s="285"/>
      <c r="C165" s="286" t="s">
        <v>696</v>
      </c>
      <c r="D165" s="287" t="s">
        <v>202</v>
      </c>
      <c r="E165" s="288">
        <f>E167+E166</f>
        <v>115000</v>
      </c>
      <c r="F165" s="288">
        <f>F167+F166</f>
        <v>249413</v>
      </c>
      <c r="G165" s="288">
        <f>G167+G166</f>
        <v>0</v>
      </c>
      <c r="H165" s="288">
        <f t="shared" si="6"/>
        <v>0</v>
      </c>
    </row>
    <row r="166" spans="1:11" s="289" customFormat="1" ht="16.5">
      <c r="A166" s="396"/>
      <c r="B166" s="397"/>
      <c r="C166" s="381" t="s">
        <v>697</v>
      </c>
      <c r="D166" s="373" t="s">
        <v>152</v>
      </c>
      <c r="E166" s="298">
        <v>20000</v>
      </c>
      <c r="F166" s="298">
        <v>0</v>
      </c>
      <c r="G166" s="298">
        <v>0</v>
      </c>
      <c r="H166" s="298"/>
    </row>
    <row r="167" spans="1:11" ht="15">
      <c r="A167" s="371"/>
      <c r="B167" s="372"/>
      <c r="C167" s="381" t="s">
        <v>698</v>
      </c>
      <c r="D167" s="373" t="s">
        <v>699</v>
      </c>
      <c r="E167" s="298">
        <f>SUM('7.2 sz mell.'!F37)</f>
        <v>95000</v>
      </c>
      <c r="F167" s="298">
        <f>SUM('7.2 sz mell.'!G37)</f>
        <v>249413</v>
      </c>
      <c r="G167" s="298">
        <f>SUM('7.2 sz mell.'!H37)</f>
        <v>0</v>
      </c>
      <c r="H167" s="298">
        <f t="shared" si="6"/>
        <v>0</v>
      </c>
    </row>
    <row r="168" spans="1:11" ht="19.5" customHeight="1">
      <c r="A168" s="1933" t="s">
        <v>700</v>
      </c>
      <c r="B168" s="1933" t="s">
        <v>442</v>
      </c>
      <c r="C168" s="1933"/>
      <c r="D168" s="1933" t="s">
        <v>443</v>
      </c>
      <c r="E168" s="311">
        <f>E167+E166</f>
        <v>115000</v>
      </c>
      <c r="F168" s="311">
        <f>F167+F166</f>
        <v>249413</v>
      </c>
      <c r="G168" s="311">
        <f>G167+G166</f>
        <v>0</v>
      </c>
      <c r="H168" s="311">
        <f t="shared" si="6"/>
        <v>0</v>
      </c>
      <c r="K168" s="274"/>
    </row>
    <row r="169" spans="1:11" ht="19.5" customHeight="1">
      <c r="A169" s="1933" t="s">
        <v>701</v>
      </c>
      <c r="B169" s="1933"/>
      <c r="C169" s="1933"/>
      <c r="D169" s="1933"/>
      <c r="E169" s="311">
        <f>E164+E168</f>
        <v>337432</v>
      </c>
      <c r="F169" s="311">
        <f>F164+F168</f>
        <v>1079375</v>
      </c>
      <c r="G169" s="311">
        <f>G164+G168</f>
        <v>573726</v>
      </c>
      <c r="H169" s="311">
        <f t="shared" si="6"/>
        <v>53.153537927041114</v>
      </c>
      <c r="K169" s="274"/>
    </row>
    <row r="170" spans="1:11" s="289" customFormat="1" ht="16.5">
      <c r="A170" s="400"/>
      <c r="B170" s="401"/>
      <c r="C170" s="402" t="s">
        <v>702</v>
      </c>
      <c r="D170" s="403" t="s">
        <v>703</v>
      </c>
      <c r="E170" s="404">
        <f>E171</f>
        <v>64000</v>
      </c>
      <c r="F170" s="404">
        <f>F171</f>
        <v>64848</v>
      </c>
      <c r="G170" s="404">
        <f>G171</f>
        <v>55237</v>
      </c>
      <c r="H170" s="404">
        <f t="shared" si="6"/>
        <v>85.179188255613127</v>
      </c>
    </row>
    <row r="171" spans="1:11" ht="15" customHeight="1">
      <c r="A171" s="359"/>
      <c r="B171" s="360"/>
      <c r="C171" s="405" t="s">
        <v>704</v>
      </c>
      <c r="D171" s="406" t="s">
        <v>705</v>
      </c>
      <c r="E171" s="407">
        <f>SUM(E172+E174+E173+E175)</f>
        <v>64000</v>
      </c>
      <c r="F171" s="407">
        <f t="shared" ref="F171:G171" si="7">SUM(F172+F174+F173+F175)</f>
        <v>64848</v>
      </c>
      <c r="G171" s="407">
        <f t="shared" si="7"/>
        <v>55237</v>
      </c>
      <c r="H171" s="407">
        <f t="shared" si="6"/>
        <v>85.179188255613127</v>
      </c>
    </row>
    <row r="172" spans="1:11" ht="15">
      <c r="A172" s="359"/>
      <c r="B172" s="360"/>
      <c r="C172" s="361" t="s">
        <v>706</v>
      </c>
      <c r="D172" s="797" t="s">
        <v>708</v>
      </c>
      <c r="E172" s="798">
        <v>4000</v>
      </c>
      <c r="F172" s="408">
        <v>6250</v>
      </c>
      <c r="G172" s="408">
        <v>6250</v>
      </c>
      <c r="H172" s="408"/>
    </row>
    <row r="173" spans="1:11" ht="15">
      <c r="A173" s="359"/>
      <c r="B173" s="360"/>
      <c r="C173" s="796" t="s">
        <v>707</v>
      </c>
      <c r="D173" s="797" t="s">
        <v>711</v>
      </c>
      <c r="E173" s="798">
        <v>52800</v>
      </c>
      <c r="F173" s="798">
        <v>52800</v>
      </c>
      <c r="G173" s="798">
        <v>43189</v>
      </c>
      <c r="H173" s="798">
        <f t="shared" si="6"/>
        <v>81.797348484848484</v>
      </c>
      <c r="I173" s="793"/>
    </row>
    <row r="174" spans="1:11" ht="15">
      <c r="A174" s="359"/>
      <c r="B174" s="360"/>
      <c r="C174" s="361" t="s">
        <v>709</v>
      </c>
      <c r="D174" s="797" t="s">
        <v>712</v>
      </c>
      <c r="E174" s="798">
        <v>7200</v>
      </c>
      <c r="F174" s="408">
        <v>5798</v>
      </c>
      <c r="G174" s="408">
        <v>5798</v>
      </c>
      <c r="H174" s="408"/>
    </row>
    <row r="175" spans="1:11" ht="15">
      <c r="A175" s="359"/>
      <c r="B175" s="360"/>
      <c r="C175" s="361" t="s">
        <v>710</v>
      </c>
      <c r="D175" s="797" t="s">
        <v>713</v>
      </c>
      <c r="E175" s="798">
        <v>0</v>
      </c>
      <c r="F175" s="408">
        <v>0</v>
      </c>
      <c r="G175" s="408">
        <v>0</v>
      </c>
      <c r="H175" s="408"/>
    </row>
    <row r="176" spans="1:11" ht="19.5" customHeight="1">
      <c r="A176" s="1933" t="s">
        <v>714</v>
      </c>
      <c r="B176" s="1933"/>
      <c r="C176" s="1933"/>
      <c r="D176" s="1933"/>
      <c r="E176" s="311">
        <f>E170</f>
        <v>64000</v>
      </c>
      <c r="F176" s="311">
        <f>F170</f>
        <v>64848</v>
      </c>
      <c r="G176" s="311">
        <f>G170</f>
        <v>55237</v>
      </c>
      <c r="H176" s="311">
        <f t="shared" si="6"/>
        <v>85.179188255613127</v>
      </c>
      <c r="K176" s="274"/>
    </row>
    <row r="177" spans="1:11" ht="19.5" customHeight="1">
      <c r="A177" s="1925" t="s">
        <v>715</v>
      </c>
      <c r="B177" s="1925"/>
      <c r="C177" s="1925"/>
      <c r="D177" s="1925"/>
      <c r="E177" s="283">
        <f>E169+E176</f>
        <v>401432</v>
      </c>
      <c r="F177" s="283">
        <f>F169+F176</f>
        <v>1144223</v>
      </c>
      <c r="G177" s="283">
        <f>G169+G176</f>
        <v>628963</v>
      </c>
      <c r="H177" s="283">
        <f t="shared" si="6"/>
        <v>54.96856818994199</v>
      </c>
      <c r="I177" s="333"/>
      <c r="J177" s="333"/>
      <c r="K177" s="333"/>
    </row>
    <row r="178" spans="1:11" ht="19.5" customHeight="1">
      <c r="A178" s="1942" t="s">
        <v>716</v>
      </c>
      <c r="B178" s="1942"/>
      <c r="C178" s="1942"/>
      <c r="D178" s="1942"/>
      <c r="E178" s="1942"/>
      <c r="F178" s="331"/>
      <c r="G178" s="331"/>
      <c r="H178" s="331"/>
      <c r="K178" s="274"/>
    </row>
    <row r="179" spans="1:11" ht="19.5" customHeight="1">
      <c r="A179" s="1940" t="s">
        <v>507</v>
      </c>
      <c r="B179" s="1940"/>
      <c r="C179" s="1940"/>
      <c r="D179" s="1940"/>
      <c r="E179" s="409"/>
      <c r="F179" s="409"/>
      <c r="G179" s="409"/>
      <c r="H179" s="409"/>
      <c r="I179" s="333"/>
      <c r="J179" s="333"/>
      <c r="K179" s="333"/>
    </row>
    <row r="180" spans="1:11" ht="15">
      <c r="A180" s="334"/>
      <c r="B180" s="335" t="s">
        <v>6</v>
      </c>
      <c r="C180" s="336"/>
      <c r="D180" s="337" t="s">
        <v>717</v>
      </c>
      <c r="E180" s="282">
        <f>SUM(E181:E183)</f>
        <v>284646</v>
      </c>
      <c r="F180" s="282">
        <f>SUM(F181:F183)</f>
        <v>549766</v>
      </c>
      <c r="G180" s="282">
        <f>SUM(G181:G183)</f>
        <v>487163</v>
      </c>
      <c r="H180" s="282">
        <f t="shared" si="6"/>
        <v>88.612791624072784</v>
      </c>
    </row>
    <row r="181" spans="1:11" ht="15">
      <c r="A181" s="334"/>
      <c r="B181" s="335"/>
      <c r="C181" s="351" t="s">
        <v>718</v>
      </c>
      <c r="D181" s="297" t="s">
        <v>508</v>
      </c>
      <c r="E181" s="340">
        <v>9996</v>
      </c>
      <c r="F181" s="340">
        <v>39199</v>
      </c>
      <c r="G181" s="340">
        <v>38958</v>
      </c>
      <c r="H181" s="340">
        <f t="shared" si="6"/>
        <v>99.3851883976632</v>
      </c>
    </row>
    <row r="182" spans="1:11" ht="15">
      <c r="A182" s="334"/>
      <c r="B182" s="335"/>
      <c r="C182" s="351" t="s">
        <v>719</v>
      </c>
      <c r="D182" s="297" t="s">
        <v>509</v>
      </c>
      <c r="E182" s="340">
        <v>2699</v>
      </c>
      <c r="F182" s="340">
        <v>9437</v>
      </c>
      <c r="G182" s="340">
        <v>9348</v>
      </c>
      <c r="H182" s="340">
        <f t="shared" si="6"/>
        <v>99.05690367701601</v>
      </c>
    </row>
    <row r="183" spans="1:11" ht="15">
      <c r="A183" s="296"/>
      <c r="B183" s="350"/>
      <c r="C183" s="351" t="s">
        <v>720</v>
      </c>
      <c r="D183" s="297" t="s">
        <v>512</v>
      </c>
      <c r="E183" s="298">
        <f>SUM(E184:E188)</f>
        <v>271951</v>
      </c>
      <c r="F183" s="298">
        <f t="shared" ref="F183:G183" si="8">SUM(F184:F188)</f>
        <v>501130</v>
      </c>
      <c r="G183" s="298">
        <f t="shared" si="8"/>
        <v>438857</v>
      </c>
      <c r="H183" s="298">
        <f t="shared" si="6"/>
        <v>87.573483926326503</v>
      </c>
    </row>
    <row r="184" spans="1:11" ht="15">
      <c r="A184" s="296"/>
      <c r="B184" s="350"/>
      <c r="C184" s="351"/>
      <c r="D184" s="297" t="s">
        <v>1294</v>
      </c>
      <c r="E184" s="298">
        <v>209051</v>
      </c>
      <c r="F184" s="298">
        <v>414664</v>
      </c>
      <c r="G184" s="298">
        <v>354646</v>
      </c>
      <c r="H184" s="298">
        <f t="shared" si="6"/>
        <v>85.526112708120309</v>
      </c>
    </row>
    <row r="185" spans="1:11" ht="15">
      <c r="A185" s="296"/>
      <c r="B185" s="350"/>
      <c r="C185" s="351"/>
      <c r="D185" s="297" t="s">
        <v>1291</v>
      </c>
      <c r="E185" s="298">
        <v>24700</v>
      </c>
      <c r="F185" s="298">
        <v>30774</v>
      </c>
      <c r="G185" s="298">
        <v>28897</v>
      </c>
      <c r="H185" s="298">
        <f t="shared" si="6"/>
        <v>93.900695392214203</v>
      </c>
    </row>
    <row r="186" spans="1:11" ht="15">
      <c r="A186" s="296"/>
      <c r="B186" s="350"/>
      <c r="C186" s="351"/>
      <c r="D186" s="297" t="s">
        <v>1292</v>
      </c>
      <c r="E186" s="298">
        <v>15600</v>
      </c>
      <c r="F186" s="298">
        <v>21568</v>
      </c>
      <c r="G186" s="298">
        <v>21568</v>
      </c>
      <c r="H186" s="298">
        <f t="shared" si="6"/>
        <v>100</v>
      </c>
    </row>
    <row r="187" spans="1:11" ht="15">
      <c r="A187" s="296"/>
      <c r="B187" s="350"/>
      <c r="C187" s="351"/>
      <c r="D187" s="297" t="s">
        <v>1293</v>
      </c>
      <c r="E187" s="298">
        <v>20600</v>
      </c>
      <c r="F187" s="298">
        <v>31498</v>
      </c>
      <c r="G187" s="298">
        <v>31498</v>
      </c>
      <c r="H187" s="298">
        <f t="shared" si="6"/>
        <v>100</v>
      </c>
    </row>
    <row r="188" spans="1:11" ht="15">
      <c r="A188" s="296"/>
      <c r="B188" s="350"/>
      <c r="C188" s="351"/>
      <c r="D188" s="297" t="s">
        <v>1295</v>
      </c>
      <c r="E188" s="298">
        <v>2000</v>
      </c>
      <c r="F188" s="298">
        <v>2626</v>
      </c>
      <c r="G188" s="298">
        <v>2248</v>
      </c>
      <c r="H188" s="298">
        <f t="shared" si="6"/>
        <v>85.605483625285601</v>
      </c>
    </row>
    <row r="189" spans="1:11" ht="15">
      <c r="A189" s="296"/>
      <c r="B189" s="350"/>
      <c r="C189" s="351"/>
      <c r="D189" s="342" t="s">
        <v>721</v>
      </c>
      <c r="E189" s="410">
        <v>8.5</v>
      </c>
      <c r="F189" s="410">
        <v>8.5</v>
      </c>
      <c r="G189" s="410">
        <v>8.5</v>
      </c>
      <c r="H189" s="410"/>
    </row>
    <row r="190" spans="1:11" ht="15">
      <c r="A190" s="296"/>
      <c r="B190" s="279" t="s">
        <v>8</v>
      </c>
      <c r="C190" s="280"/>
      <c r="D190" s="342" t="s">
        <v>722</v>
      </c>
      <c r="E190" s="343">
        <f>SUM(E191)</f>
        <v>55000</v>
      </c>
      <c r="F190" s="343">
        <f>SUM(F191)</f>
        <v>48523</v>
      </c>
      <c r="G190" s="343">
        <f>SUM(G191)</f>
        <v>41763</v>
      </c>
      <c r="H190" s="343">
        <f t="shared" si="6"/>
        <v>86.068462378665785</v>
      </c>
    </row>
    <row r="191" spans="1:11" ht="15">
      <c r="A191" s="296"/>
      <c r="B191" s="279"/>
      <c r="C191" s="351" t="s">
        <v>479</v>
      </c>
      <c r="D191" s="297" t="s">
        <v>512</v>
      </c>
      <c r="E191" s="298">
        <v>55000</v>
      </c>
      <c r="F191" s="298">
        <v>48523</v>
      </c>
      <c r="G191" s="298">
        <v>41763</v>
      </c>
      <c r="H191" s="298">
        <f t="shared" si="6"/>
        <v>86.068462378665785</v>
      </c>
    </row>
    <row r="192" spans="1:11" ht="29.25" hidden="1" customHeight="1">
      <c r="A192" s="411"/>
      <c r="B192" s="335" t="s">
        <v>10</v>
      </c>
      <c r="C192" s="336"/>
      <c r="D192" s="412" t="s">
        <v>723</v>
      </c>
      <c r="E192" s="413"/>
      <c r="F192" s="413"/>
      <c r="G192" s="413"/>
      <c r="H192" s="413" t="e">
        <f t="shared" ref="H192:H240" si="9">G192/F192*100</f>
        <v>#DIV/0!</v>
      </c>
      <c r="I192" s="303"/>
    </row>
    <row r="193" spans="1:8" ht="15" hidden="1" customHeight="1">
      <c r="A193" s="278"/>
      <c r="B193" s="279"/>
      <c r="C193" s="351" t="s">
        <v>480</v>
      </c>
      <c r="D193" s="297" t="s">
        <v>508</v>
      </c>
      <c r="E193" s="413"/>
      <c r="F193" s="413"/>
      <c r="G193" s="413"/>
      <c r="H193" s="413" t="e">
        <f t="shared" si="9"/>
        <v>#DIV/0!</v>
      </c>
    </row>
    <row r="194" spans="1:8" ht="15" hidden="1" customHeight="1">
      <c r="A194" s="278"/>
      <c r="B194" s="279"/>
      <c r="C194" s="351" t="s">
        <v>724</v>
      </c>
      <c r="D194" s="297" t="s">
        <v>509</v>
      </c>
      <c r="E194" s="413"/>
      <c r="F194" s="413"/>
      <c r="G194" s="413"/>
      <c r="H194" s="413" t="e">
        <f t="shared" si="9"/>
        <v>#DIV/0!</v>
      </c>
    </row>
    <row r="195" spans="1:8" ht="15" hidden="1" customHeight="1">
      <c r="A195" s="278"/>
      <c r="B195" s="279"/>
      <c r="C195" s="351" t="s">
        <v>725</v>
      </c>
      <c r="D195" s="297" t="s">
        <v>512</v>
      </c>
      <c r="E195" s="413"/>
      <c r="F195" s="413"/>
      <c r="G195" s="413"/>
      <c r="H195" s="413" t="e">
        <f t="shared" si="9"/>
        <v>#DIV/0!</v>
      </c>
    </row>
    <row r="196" spans="1:8" ht="15" hidden="1" customHeight="1">
      <c r="A196" s="278"/>
      <c r="B196" s="279"/>
      <c r="C196" s="414"/>
      <c r="D196" s="342" t="s">
        <v>721</v>
      </c>
      <c r="E196" s="415"/>
      <c r="F196" s="415"/>
      <c r="G196" s="415"/>
      <c r="H196" s="415" t="e">
        <f t="shared" si="9"/>
        <v>#DIV/0!</v>
      </c>
    </row>
    <row r="197" spans="1:8" ht="15" customHeight="1">
      <c r="A197" s="278"/>
      <c r="B197" s="279" t="s">
        <v>10</v>
      </c>
      <c r="C197" s="280"/>
      <c r="D197" s="342" t="s">
        <v>726</v>
      </c>
      <c r="E197" s="416">
        <f>SUM(E198:E200)</f>
        <v>11965</v>
      </c>
      <c r="F197" s="416">
        <f>SUM(F198:F200)</f>
        <v>47354</v>
      </c>
      <c r="G197" s="416">
        <f>SUM(G198:G200)</f>
        <v>35343</v>
      </c>
      <c r="H197" s="416">
        <f t="shared" si="9"/>
        <v>74.635722431051235</v>
      </c>
    </row>
    <row r="198" spans="1:8" ht="15" customHeight="1">
      <c r="A198" s="278"/>
      <c r="B198" s="279"/>
      <c r="C198" s="351" t="s">
        <v>727</v>
      </c>
      <c r="D198" s="297" t="s">
        <v>508</v>
      </c>
      <c r="E198" s="298">
        <v>4059</v>
      </c>
      <c r="F198" s="298">
        <v>34606</v>
      </c>
      <c r="G198" s="298">
        <v>25088</v>
      </c>
      <c r="H198" s="298">
        <f t="shared" si="9"/>
        <v>72.496098942379945</v>
      </c>
    </row>
    <row r="199" spans="1:8" ht="15" customHeight="1">
      <c r="A199" s="278"/>
      <c r="B199" s="279"/>
      <c r="C199" s="351" t="s">
        <v>728</v>
      </c>
      <c r="D199" s="297" t="s">
        <v>509</v>
      </c>
      <c r="E199" s="298">
        <v>748</v>
      </c>
      <c r="F199" s="298">
        <v>4841</v>
      </c>
      <c r="G199" s="298">
        <v>3556</v>
      </c>
      <c r="H199" s="298">
        <f t="shared" si="9"/>
        <v>73.455897541830197</v>
      </c>
    </row>
    <row r="200" spans="1:8" ht="15" customHeight="1">
      <c r="A200" s="278"/>
      <c r="B200" s="279"/>
      <c r="C200" s="351" t="s">
        <v>729</v>
      </c>
      <c r="D200" s="297" t="s">
        <v>512</v>
      </c>
      <c r="E200" s="298">
        <v>7158</v>
      </c>
      <c r="F200" s="298">
        <v>7907</v>
      </c>
      <c r="G200" s="298">
        <v>6699</v>
      </c>
      <c r="H200" s="298">
        <f t="shared" si="9"/>
        <v>84.722397875300373</v>
      </c>
    </row>
    <row r="201" spans="1:8" ht="15" customHeight="1">
      <c r="A201" s="278"/>
      <c r="B201" s="279"/>
      <c r="C201" s="280"/>
      <c r="D201" s="342" t="s">
        <v>721</v>
      </c>
      <c r="E201" s="410">
        <v>13.5</v>
      </c>
      <c r="F201" s="410">
        <v>13.5</v>
      </c>
      <c r="G201" s="410">
        <v>13.5</v>
      </c>
      <c r="H201" s="415"/>
    </row>
    <row r="202" spans="1:8" ht="15" customHeight="1">
      <c r="A202" s="278"/>
      <c r="B202" s="279" t="s">
        <v>12</v>
      </c>
      <c r="C202" s="280"/>
      <c r="D202" s="342" t="s">
        <v>730</v>
      </c>
      <c r="E202" s="416">
        <f>SUM(E203:E205)</f>
        <v>17171</v>
      </c>
      <c r="F202" s="416">
        <f>SUM(F203:F205)</f>
        <v>17414</v>
      </c>
      <c r="G202" s="416">
        <f>SUM(G203:G205)</f>
        <v>15911</v>
      </c>
      <c r="H202" s="416">
        <f t="shared" si="9"/>
        <v>91.369013437464105</v>
      </c>
    </row>
    <row r="203" spans="1:8" ht="15" customHeight="1">
      <c r="A203" s="278"/>
      <c r="B203" s="279"/>
      <c r="C203" s="351" t="s">
        <v>731</v>
      </c>
      <c r="D203" s="297" t="s">
        <v>508</v>
      </c>
      <c r="E203" s="298">
        <v>1335</v>
      </c>
      <c r="F203" s="298">
        <v>1502</v>
      </c>
      <c r="G203" s="298">
        <v>1502</v>
      </c>
      <c r="H203" s="298">
        <f t="shared" si="9"/>
        <v>100</v>
      </c>
    </row>
    <row r="204" spans="1:8" ht="15" customHeight="1">
      <c r="A204" s="278"/>
      <c r="B204" s="279"/>
      <c r="C204" s="351" t="s">
        <v>732</v>
      </c>
      <c r="D204" s="297" t="s">
        <v>509</v>
      </c>
      <c r="E204" s="298">
        <v>345</v>
      </c>
      <c r="F204" s="298">
        <v>396</v>
      </c>
      <c r="G204" s="298">
        <v>396</v>
      </c>
      <c r="H204" s="298">
        <f t="shared" si="9"/>
        <v>100</v>
      </c>
    </row>
    <row r="205" spans="1:8" ht="15" customHeight="1">
      <c r="A205" s="278"/>
      <c r="B205" s="279"/>
      <c r="C205" s="351" t="s">
        <v>733</v>
      </c>
      <c r="D205" s="297" t="s">
        <v>512</v>
      </c>
      <c r="E205" s="298">
        <v>15491</v>
      </c>
      <c r="F205" s="298">
        <v>15516</v>
      </c>
      <c r="G205" s="298">
        <v>14013</v>
      </c>
      <c r="H205" s="298">
        <f t="shared" si="9"/>
        <v>90.313225058004647</v>
      </c>
    </row>
    <row r="206" spans="1:8" ht="15" customHeight="1">
      <c r="A206" s="278"/>
      <c r="B206" s="279"/>
      <c r="C206" s="280"/>
      <c r="D206" s="342" t="s">
        <v>721</v>
      </c>
      <c r="E206" s="415">
        <v>1</v>
      </c>
      <c r="F206" s="415">
        <v>1</v>
      </c>
      <c r="G206" s="415">
        <v>1</v>
      </c>
      <c r="H206" s="415"/>
    </row>
    <row r="207" spans="1:8" ht="15" customHeight="1">
      <c r="A207" s="278"/>
      <c r="B207" s="279" t="s">
        <v>14</v>
      </c>
      <c r="C207" s="280"/>
      <c r="D207" s="342" t="s">
        <v>734</v>
      </c>
      <c r="E207" s="416">
        <f>SUM(E208)</f>
        <v>3810</v>
      </c>
      <c r="F207" s="416">
        <f>SUM(F208)</f>
        <v>3280</v>
      </c>
      <c r="G207" s="416">
        <f>SUM(G208)</f>
        <v>3280</v>
      </c>
      <c r="H207" s="416">
        <f t="shared" si="9"/>
        <v>100</v>
      </c>
    </row>
    <row r="208" spans="1:8" ht="15" customHeight="1">
      <c r="A208" s="278"/>
      <c r="B208" s="279"/>
      <c r="C208" s="351" t="s">
        <v>684</v>
      </c>
      <c r="D208" s="297" t="s">
        <v>512</v>
      </c>
      <c r="E208" s="298">
        <v>3810</v>
      </c>
      <c r="F208" s="298">
        <v>3280</v>
      </c>
      <c r="G208" s="298">
        <v>3280</v>
      </c>
      <c r="H208" s="298">
        <f t="shared" si="9"/>
        <v>100</v>
      </c>
    </row>
    <row r="209" spans="1:8" ht="15" customHeight="1">
      <c r="A209" s="278"/>
      <c r="B209" s="279" t="s">
        <v>16</v>
      </c>
      <c r="C209" s="280"/>
      <c r="D209" s="342" t="s">
        <v>735</v>
      </c>
      <c r="E209" s="416">
        <f>SUM(E210)</f>
        <v>12145</v>
      </c>
      <c r="F209" s="416">
        <f>SUM(F210)</f>
        <v>9406</v>
      </c>
      <c r="G209" s="416">
        <f>SUM(G210)</f>
        <v>9406</v>
      </c>
      <c r="H209" s="416">
        <f t="shared" si="9"/>
        <v>100</v>
      </c>
    </row>
    <row r="210" spans="1:8" ht="15" customHeight="1">
      <c r="A210" s="278"/>
      <c r="B210" s="279"/>
      <c r="C210" s="351" t="s">
        <v>736</v>
      </c>
      <c r="D210" s="297" t="s">
        <v>512</v>
      </c>
      <c r="E210" s="298">
        <v>12145</v>
      </c>
      <c r="F210" s="298">
        <v>9406</v>
      </c>
      <c r="G210" s="298">
        <v>9406</v>
      </c>
      <c r="H210" s="298">
        <f t="shared" si="9"/>
        <v>100</v>
      </c>
    </row>
    <row r="211" spans="1:8" ht="15" customHeight="1">
      <c r="A211" s="278"/>
      <c r="B211" s="279" t="s">
        <v>18</v>
      </c>
      <c r="C211" s="280"/>
      <c r="D211" s="342" t="s">
        <v>737</v>
      </c>
      <c r="E211" s="343">
        <f>SUM(E212)</f>
        <v>50000</v>
      </c>
      <c r="F211" s="343">
        <f>SUM(F212)</f>
        <v>12606</v>
      </c>
      <c r="G211" s="343">
        <f>SUM(G212)</f>
        <v>11387</v>
      </c>
      <c r="H211" s="343">
        <f t="shared" si="9"/>
        <v>90.330001586546089</v>
      </c>
    </row>
    <row r="212" spans="1:8" ht="15" customHeight="1">
      <c r="A212" s="296"/>
      <c r="B212" s="350"/>
      <c r="C212" s="351" t="s">
        <v>738</v>
      </c>
      <c r="D212" s="297" t="s">
        <v>512</v>
      </c>
      <c r="E212" s="298">
        <v>50000</v>
      </c>
      <c r="F212" s="298">
        <v>12606</v>
      </c>
      <c r="G212" s="298">
        <v>11387</v>
      </c>
      <c r="H212" s="298">
        <f t="shared" si="9"/>
        <v>90.330001586546089</v>
      </c>
    </row>
    <row r="213" spans="1:8" ht="15" hidden="1" customHeight="1">
      <c r="A213" s="278"/>
      <c r="B213" s="279" t="s">
        <v>14</v>
      </c>
      <c r="C213" s="280"/>
      <c r="D213" s="342" t="s">
        <v>739</v>
      </c>
      <c r="E213" s="413"/>
      <c r="F213" s="413"/>
      <c r="G213" s="413"/>
      <c r="H213" s="413" t="e">
        <f t="shared" si="9"/>
        <v>#DIV/0!</v>
      </c>
    </row>
    <row r="214" spans="1:8" ht="15" hidden="1" customHeight="1">
      <c r="A214" s="296"/>
      <c r="B214" s="350"/>
      <c r="C214" s="351" t="s">
        <v>740</v>
      </c>
      <c r="D214" s="297" t="s">
        <v>512</v>
      </c>
      <c r="E214" s="308"/>
      <c r="F214" s="308"/>
      <c r="G214" s="308"/>
      <c r="H214" s="308" t="e">
        <f t="shared" si="9"/>
        <v>#DIV/0!</v>
      </c>
    </row>
    <row r="215" spans="1:8" ht="15" hidden="1" customHeight="1">
      <c r="A215" s="278"/>
      <c r="B215" s="279" t="s">
        <v>16</v>
      </c>
      <c r="C215" s="280"/>
      <c r="D215" s="342" t="s">
        <v>741</v>
      </c>
      <c r="E215" s="413"/>
      <c r="F215" s="413"/>
      <c r="G215" s="413"/>
      <c r="H215" s="413" t="e">
        <f t="shared" si="9"/>
        <v>#DIV/0!</v>
      </c>
    </row>
    <row r="216" spans="1:8" ht="15" hidden="1" customHeight="1">
      <c r="A216" s="296"/>
      <c r="B216" s="350"/>
      <c r="C216" s="351" t="s">
        <v>742</v>
      </c>
      <c r="D216" s="297" t="s">
        <v>508</v>
      </c>
      <c r="E216" s="308"/>
      <c r="F216" s="308"/>
      <c r="G216" s="308"/>
      <c r="H216" s="308" t="e">
        <f t="shared" si="9"/>
        <v>#DIV/0!</v>
      </c>
    </row>
    <row r="217" spans="1:8" ht="15" hidden="1" customHeight="1">
      <c r="A217" s="296"/>
      <c r="B217" s="350"/>
      <c r="C217" s="351" t="s">
        <v>743</v>
      </c>
      <c r="D217" s="297" t="s">
        <v>509</v>
      </c>
      <c r="E217" s="308"/>
      <c r="F217" s="308"/>
      <c r="G217" s="308"/>
      <c r="H217" s="308" t="e">
        <f t="shared" si="9"/>
        <v>#DIV/0!</v>
      </c>
    </row>
    <row r="218" spans="1:8" ht="15" hidden="1" customHeight="1">
      <c r="A218" s="296"/>
      <c r="B218" s="350"/>
      <c r="C218" s="351" t="s">
        <v>744</v>
      </c>
      <c r="D218" s="297" t="s">
        <v>512</v>
      </c>
      <c r="E218" s="308"/>
      <c r="F218" s="308"/>
      <c r="G218" s="308"/>
      <c r="H218" s="308" t="e">
        <f t="shared" si="9"/>
        <v>#DIV/0!</v>
      </c>
    </row>
    <row r="219" spans="1:8" ht="15" hidden="1" customHeight="1">
      <c r="A219" s="296"/>
      <c r="B219" s="350"/>
      <c r="C219" s="280" t="s">
        <v>745</v>
      </c>
      <c r="D219" s="342" t="s">
        <v>721</v>
      </c>
      <c r="E219" s="417"/>
      <c r="F219" s="417"/>
      <c r="G219" s="417"/>
      <c r="H219" s="417" t="e">
        <f t="shared" si="9"/>
        <v>#DIV/0!</v>
      </c>
    </row>
    <row r="220" spans="1:8" ht="15" customHeight="1">
      <c r="A220" s="296"/>
      <c r="B220" s="279" t="s">
        <v>494</v>
      </c>
      <c r="C220" s="280"/>
      <c r="D220" s="342" t="s">
        <v>746</v>
      </c>
      <c r="E220" s="416">
        <f>SUM(E221)</f>
        <v>32000</v>
      </c>
      <c r="F220" s="416">
        <f>SUM(F221)</f>
        <v>39063</v>
      </c>
      <c r="G220" s="416">
        <f>SUM(G221)</f>
        <v>35284</v>
      </c>
      <c r="H220" s="416">
        <f t="shared" si="9"/>
        <v>90.325883828686997</v>
      </c>
    </row>
    <row r="221" spans="1:8" ht="15" customHeight="1">
      <c r="A221" s="296"/>
      <c r="B221" s="350"/>
      <c r="C221" s="280" t="s">
        <v>747</v>
      </c>
      <c r="D221" s="297" t="s">
        <v>512</v>
      </c>
      <c r="E221" s="298">
        <v>32000</v>
      </c>
      <c r="F221" s="298">
        <v>39063</v>
      </c>
      <c r="G221" s="298">
        <v>35284</v>
      </c>
      <c r="H221" s="298">
        <f t="shared" si="9"/>
        <v>90.325883828686997</v>
      </c>
    </row>
    <row r="222" spans="1:8" ht="15" customHeight="1">
      <c r="A222" s="278"/>
      <c r="B222" s="279" t="s">
        <v>696</v>
      </c>
      <c r="C222" s="280"/>
      <c r="D222" s="418" t="s">
        <v>748</v>
      </c>
      <c r="E222" s="343">
        <f>SUM(E223:E225)</f>
        <v>6706</v>
      </c>
      <c r="F222" s="343">
        <f>SUM(F223:F225)</f>
        <v>6706</v>
      </c>
      <c r="G222" s="343">
        <f>SUM(G223:G225)</f>
        <v>5703</v>
      </c>
      <c r="H222" s="343">
        <f t="shared" si="9"/>
        <v>85.043244855353421</v>
      </c>
    </row>
    <row r="223" spans="1:8" ht="15" customHeight="1">
      <c r="A223" s="296"/>
      <c r="B223" s="350"/>
      <c r="C223" s="351" t="s">
        <v>749</v>
      </c>
      <c r="D223" s="297" t="s">
        <v>508</v>
      </c>
      <c r="E223" s="298">
        <v>780</v>
      </c>
      <c r="F223" s="298">
        <v>780</v>
      </c>
      <c r="G223" s="298">
        <v>780</v>
      </c>
      <c r="H223" s="298">
        <f t="shared" si="9"/>
        <v>100</v>
      </c>
    </row>
    <row r="224" spans="1:8" ht="15">
      <c r="A224" s="296"/>
      <c r="B224" s="350"/>
      <c r="C224" s="351" t="s">
        <v>750</v>
      </c>
      <c r="D224" s="297" t="s">
        <v>509</v>
      </c>
      <c r="E224" s="298">
        <v>211</v>
      </c>
      <c r="F224" s="298">
        <v>211</v>
      </c>
      <c r="G224" s="298">
        <v>211</v>
      </c>
      <c r="H224" s="298">
        <f t="shared" si="9"/>
        <v>100</v>
      </c>
    </row>
    <row r="225" spans="1:18" ht="15" customHeight="1">
      <c r="A225" s="296"/>
      <c r="B225" s="350"/>
      <c r="C225" s="351" t="s">
        <v>751</v>
      </c>
      <c r="D225" s="297" t="s">
        <v>512</v>
      </c>
      <c r="E225" s="298">
        <v>5715</v>
      </c>
      <c r="F225" s="298">
        <v>5715</v>
      </c>
      <c r="G225" s="298">
        <v>4712</v>
      </c>
      <c r="H225" s="298">
        <f t="shared" si="9"/>
        <v>82.449693788276463</v>
      </c>
    </row>
    <row r="226" spans="1:18" ht="15" hidden="1" customHeight="1">
      <c r="A226" s="296"/>
      <c r="B226" s="279" t="s">
        <v>702</v>
      </c>
      <c r="C226" s="280"/>
      <c r="D226" s="342" t="s">
        <v>752</v>
      </c>
      <c r="E226" s="416">
        <f>SUM(E227)</f>
        <v>0</v>
      </c>
      <c r="F226" s="416">
        <f>SUM(F227)</f>
        <v>0</v>
      </c>
      <c r="G226" s="416">
        <f>SUM(G227)</f>
        <v>0</v>
      </c>
      <c r="H226" s="416"/>
    </row>
    <row r="227" spans="1:18" ht="15" hidden="1">
      <c r="A227" s="296"/>
      <c r="B227" s="350"/>
      <c r="C227" s="351" t="s">
        <v>704</v>
      </c>
      <c r="D227" s="297" t="s">
        <v>512</v>
      </c>
      <c r="E227" s="298">
        <v>0</v>
      </c>
      <c r="F227" s="298">
        <v>0</v>
      </c>
      <c r="G227" s="298">
        <v>0</v>
      </c>
      <c r="H227" s="298"/>
    </row>
    <row r="228" spans="1:18" ht="14.25" hidden="1">
      <c r="A228" s="371"/>
      <c r="B228" s="372" t="s">
        <v>696</v>
      </c>
      <c r="C228" s="378"/>
      <c r="D228" s="379" t="s">
        <v>753</v>
      </c>
      <c r="E228" s="380"/>
      <c r="F228" s="380"/>
      <c r="G228" s="380"/>
      <c r="H228" s="380" t="e">
        <f t="shared" si="9"/>
        <v>#DIV/0!</v>
      </c>
    </row>
    <row r="229" spans="1:18" ht="20.25">
      <c r="A229" s="1941" t="s">
        <v>754</v>
      </c>
      <c r="B229" s="1941"/>
      <c r="C229" s="1941"/>
      <c r="D229" s="1941"/>
      <c r="E229" s="1941"/>
      <c r="F229" s="1941"/>
      <c r="G229" s="1941"/>
      <c r="H229" s="1941"/>
      <c r="K229" s="274"/>
    </row>
    <row r="230" spans="1:18" ht="15.75">
      <c r="A230" s="334"/>
      <c r="B230" s="335" t="s">
        <v>102</v>
      </c>
      <c r="C230" s="336"/>
      <c r="D230" s="337" t="s">
        <v>508</v>
      </c>
      <c r="E230" s="282">
        <f t="shared" ref="E230:G231" si="10">SUM(E181+E198+E203+E223)</f>
        <v>16170</v>
      </c>
      <c r="F230" s="282">
        <f t="shared" si="10"/>
        <v>76087</v>
      </c>
      <c r="G230" s="282">
        <f t="shared" si="10"/>
        <v>66328</v>
      </c>
      <c r="H230" s="282">
        <f t="shared" si="9"/>
        <v>87.173893043489699</v>
      </c>
      <c r="J230" s="322"/>
      <c r="L230" s="322"/>
      <c r="M230" s="419"/>
      <c r="N230" s="420"/>
      <c r="O230" s="421"/>
      <c r="P230" s="421"/>
      <c r="Q230" s="421"/>
      <c r="R230" s="421"/>
    </row>
    <row r="231" spans="1:18" ht="15.75">
      <c r="A231" s="296"/>
      <c r="B231" s="279" t="s">
        <v>104</v>
      </c>
      <c r="C231" s="280"/>
      <c r="D231" s="342" t="s">
        <v>509</v>
      </c>
      <c r="E231" s="343">
        <f t="shared" si="10"/>
        <v>4003</v>
      </c>
      <c r="F231" s="343">
        <f t="shared" si="10"/>
        <v>14885</v>
      </c>
      <c r="G231" s="343">
        <f t="shared" si="10"/>
        <v>13511</v>
      </c>
      <c r="H231" s="343">
        <f t="shared" si="9"/>
        <v>90.769230769230774</v>
      </c>
      <c r="J231" s="322"/>
      <c r="L231" s="322"/>
      <c r="M231" s="419"/>
      <c r="N231" s="420"/>
      <c r="O231" s="420"/>
      <c r="P231" s="420"/>
      <c r="Q231" s="420"/>
      <c r="R231" s="420"/>
    </row>
    <row r="232" spans="1:18" ht="15.75">
      <c r="A232" s="296"/>
      <c r="B232" s="279" t="s">
        <v>106</v>
      </c>
      <c r="C232" s="280"/>
      <c r="D232" s="342" t="s">
        <v>512</v>
      </c>
      <c r="E232" s="343">
        <f>SUM(E183+E191+E200+E205+E208+E210+E212+E221+E227+E225)</f>
        <v>453270</v>
      </c>
      <c r="F232" s="343">
        <f>SUM(F183+F191+F200+F205+F208+F210+F212+F221+F227+F225)</f>
        <v>643146</v>
      </c>
      <c r="G232" s="343">
        <f>SUM(G183+G191+G200+G205+G208+G210+G212+G221+G227+G225)</f>
        <v>565401</v>
      </c>
      <c r="H232" s="343">
        <f t="shared" si="9"/>
        <v>87.91176498026887</v>
      </c>
      <c r="J232" s="322"/>
      <c r="L232" s="322"/>
      <c r="M232" s="419"/>
      <c r="N232" s="420"/>
      <c r="O232" s="420"/>
      <c r="P232" s="422"/>
      <c r="Q232" s="422"/>
      <c r="R232" s="423"/>
    </row>
    <row r="233" spans="1:18" ht="19.5" customHeight="1">
      <c r="A233" s="1925" t="s">
        <v>679</v>
      </c>
      <c r="B233" s="1925"/>
      <c r="C233" s="1925"/>
      <c r="D233" s="1925"/>
      <c r="E233" s="320">
        <f>SUM(E230:E232)</f>
        <v>473443</v>
      </c>
      <c r="F233" s="320">
        <f>SUM(F230:F232)</f>
        <v>734118</v>
      </c>
      <c r="G233" s="320">
        <f>SUM(G230:G232)</f>
        <v>645240</v>
      </c>
      <c r="H233" s="320">
        <f t="shared" si="9"/>
        <v>87.893226974410112</v>
      </c>
      <c r="I233" s="333"/>
      <c r="J233" s="333"/>
      <c r="K233" s="333"/>
      <c r="N233" s="420"/>
      <c r="O233" s="420"/>
      <c r="P233" s="422"/>
      <c r="Q233" s="422"/>
      <c r="R233" s="423"/>
    </row>
    <row r="234" spans="1:18" s="289" customFormat="1" ht="16.5" hidden="1">
      <c r="A234" s="321"/>
      <c r="B234" s="285"/>
      <c r="C234" s="286" t="s">
        <v>6</v>
      </c>
      <c r="D234" s="287" t="s">
        <v>681</v>
      </c>
      <c r="E234" s="288" t="e">
        <f>SUM(#REF!)</f>
        <v>#REF!</v>
      </c>
      <c r="F234" s="288" t="e">
        <f>SUM(#REF!)</f>
        <v>#REF!</v>
      </c>
      <c r="G234" s="288" t="e">
        <f>SUM(#REF!)</f>
        <v>#REF!</v>
      </c>
      <c r="H234" s="288" t="e">
        <f t="shared" si="9"/>
        <v>#REF!</v>
      </c>
      <c r="N234" s="420"/>
      <c r="O234" s="420"/>
      <c r="P234" s="422"/>
      <c r="Q234" s="422"/>
      <c r="R234" s="423"/>
    </row>
    <row r="235" spans="1:18" s="289" customFormat="1" ht="16.5" hidden="1">
      <c r="A235" s="321"/>
      <c r="B235" s="285"/>
      <c r="C235" s="286" t="s">
        <v>8</v>
      </c>
      <c r="D235" s="287" t="s">
        <v>133</v>
      </c>
      <c r="E235" s="288" t="e">
        <f>SUM(#REF!)</f>
        <v>#REF!</v>
      </c>
      <c r="F235" s="288" t="e">
        <f>SUM(#REF!)</f>
        <v>#REF!</v>
      </c>
      <c r="G235" s="288" t="e">
        <f>SUM(#REF!)</f>
        <v>#REF!</v>
      </c>
      <c r="H235" s="288" t="e">
        <f t="shared" si="9"/>
        <v>#REF!</v>
      </c>
    </row>
    <row r="236" spans="1:18" ht="19.5" hidden="1" customHeight="1">
      <c r="A236" s="1925" t="s">
        <v>715</v>
      </c>
      <c r="B236" s="1925"/>
      <c r="C236" s="1925"/>
      <c r="D236" s="1925"/>
      <c r="E236" s="283" t="e">
        <f>E234+E235</f>
        <v>#REF!</v>
      </c>
      <c r="F236" s="283" t="e">
        <f>F234+F235</f>
        <v>#REF!</v>
      </c>
      <c r="G236" s="283" t="e">
        <f>G234+G235</f>
        <v>#REF!</v>
      </c>
      <c r="H236" s="283" t="e">
        <f t="shared" si="9"/>
        <v>#REF!</v>
      </c>
      <c r="I236" s="333"/>
      <c r="J236" s="333"/>
      <c r="K236" s="333"/>
    </row>
    <row r="237" spans="1:18" s="289" customFormat="1" ht="16.5">
      <c r="A237" s="321"/>
      <c r="B237" s="285"/>
      <c r="C237" s="286"/>
      <c r="D237" s="287" t="s">
        <v>755</v>
      </c>
      <c r="E237" s="288"/>
      <c r="F237" s="288"/>
      <c r="G237" s="288">
        <v>15359</v>
      </c>
      <c r="H237" s="288"/>
    </row>
    <row r="238" spans="1:18" ht="21.75" customHeight="1">
      <c r="A238" s="323"/>
      <c r="B238" s="324"/>
      <c r="C238" s="325"/>
      <c r="D238" s="326" t="s">
        <v>756</v>
      </c>
      <c r="E238" s="424">
        <f>E233+E177+E145+E237</f>
        <v>1274967</v>
      </c>
      <c r="F238" s="424">
        <f>F233+F177+F145+F237</f>
        <v>2403417</v>
      </c>
      <c r="G238" s="424">
        <f>G233+G177+G145+G237</f>
        <v>3700192</v>
      </c>
      <c r="H238" s="424">
        <f t="shared" si="9"/>
        <v>153.95547256260568</v>
      </c>
      <c r="L238" s="425"/>
    </row>
    <row r="239" spans="1:18" ht="18.75">
      <c r="A239" s="426" t="s">
        <v>757</v>
      </c>
      <c r="B239" s="414"/>
      <c r="C239" s="414"/>
      <c r="D239" s="427"/>
      <c r="E239" s="298">
        <v>0</v>
      </c>
      <c r="F239" s="298">
        <f>F26</f>
        <v>1431844</v>
      </c>
      <c r="G239" s="298">
        <f>G26</f>
        <v>1431964</v>
      </c>
      <c r="H239" s="298"/>
    </row>
    <row r="240" spans="1:18" ht="21" customHeight="1">
      <c r="A240" s="428" t="s">
        <v>758</v>
      </c>
      <c r="B240" s="429"/>
      <c r="C240" s="430"/>
      <c r="D240" s="431"/>
      <c r="E240" s="432">
        <f>SUM(E238-E239)</f>
        <v>1274967</v>
      </c>
      <c r="F240" s="432">
        <f>SUM(F238-F239)</f>
        <v>971573</v>
      </c>
      <c r="G240" s="432">
        <f>SUM(G238-G239)</f>
        <v>2268228</v>
      </c>
      <c r="H240" s="432">
        <f t="shared" si="9"/>
        <v>233.45934891150742</v>
      </c>
    </row>
  </sheetData>
  <sheetProtection selectLockedCells="1" selectUnlockedCells="1"/>
  <mergeCells count="19">
    <mergeCell ref="F229:H229"/>
    <mergeCell ref="A233:D233"/>
    <mergeCell ref="A169:D169"/>
    <mergeCell ref="A176:D176"/>
    <mergeCell ref="A236:D236"/>
    <mergeCell ref="A177:D177"/>
    <mergeCell ref="A178:E178"/>
    <mergeCell ref="A179:D179"/>
    <mergeCell ref="A229:E229"/>
    <mergeCell ref="A135:D135"/>
    <mergeCell ref="A144:D144"/>
    <mergeCell ref="A145:D145"/>
    <mergeCell ref="A164:D164"/>
    <mergeCell ref="A168:D168"/>
    <mergeCell ref="A1:C1"/>
    <mergeCell ref="A2:E2"/>
    <mergeCell ref="A3:D3"/>
    <mergeCell ref="A130:D130"/>
    <mergeCell ref="A134:D134"/>
  </mergeCells>
  <printOptions horizontalCentered="1"/>
  <pageMargins left="0.19685039370078741" right="0.19685039370078741" top="0.74803149606299213" bottom="0.51181102362204722" header="0.15748031496062992" footer="0.23622047244094491"/>
  <pageSetup paperSize="9" scale="86" firstPageNumber="46" orientation="portrait" r:id="rId1"/>
  <headerFooter alignWithMargins="0">
    <oddHeader>&amp;C&amp;"Times New Roman,Félkövér"&amp;14
Vecsés Város Önkormányzatának  2013. évi kiadásai feladatonként&amp;R&amp;"Times New Roman,Normál"&amp;12 3.2. sz. melléklet
Ezer Ft</oddHeader>
    <oddFooter>&amp;C- &amp;P -</oddFooter>
  </headerFooter>
  <rowBreaks count="3" manualBreakCount="3">
    <brk id="52" max="16383" man="1"/>
    <brk id="130" max="16383" man="1"/>
    <brk id="17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zoomScaleSheetLayoutView="100" workbookViewId="0">
      <selection activeCell="I30" sqref="I30"/>
    </sheetView>
  </sheetViews>
  <sheetFormatPr defaultRowHeight="15"/>
  <cols>
    <col min="1" max="1" width="9.6640625" style="151" customWidth="1"/>
    <col min="2" max="2" width="12.83203125" style="152" customWidth="1"/>
    <col min="3" max="3" width="60.6640625" style="152" customWidth="1"/>
    <col min="4" max="4" width="14.1640625" style="177" customWidth="1"/>
    <col min="5" max="6" width="18" style="177" customWidth="1"/>
    <col min="7" max="7" width="12.83203125" style="177" customWidth="1"/>
    <col min="8" max="8" width="9.83203125" style="152" bestFit="1" customWidth="1"/>
    <col min="9" max="9" width="16.6640625" style="152" customWidth="1"/>
    <col min="10" max="10" width="9.83203125" style="152" customWidth="1"/>
    <col min="11" max="16384" width="9.33203125" style="152"/>
  </cols>
  <sheetData>
    <row r="1" spans="1:10" s="436" customFormat="1" ht="21" customHeight="1">
      <c r="A1" s="433"/>
      <c r="B1" s="434"/>
      <c r="C1" s="435"/>
      <c r="D1" s="1944" t="s">
        <v>759</v>
      </c>
      <c r="E1" s="1944"/>
      <c r="F1" s="1944"/>
      <c r="G1" s="1944"/>
    </row>
    <row r="2" spans="1:10" s="155" customFormat="1" ht="28.5" customHeight="1">
      <c r="A2" s="1898" t="s">
        <v>760</v>
      </c>
      <c r="B2" s="1898"/>
      <c r="C2" s="154" t="s">
        <v>761</v>
      </c>
      <c r="D2" s="154"/>
      <c r="E2" s="154"/>
      <c r="F2" s="154"/>
      <c r="G2" s="154"/>
    </row>
    <row r="3" spans="1:10" s="155" customFormat="1" ht="32.25" customHeight="1" thickBot="1">
      <c r="A3" s="1900" t="s">
        <v>258</v>
      </c>
      <c r="B3" s="1900"/>
      <c r="C3" s="156" t="s">
        <v>259</v>
      </c>
      <c r="D3" s="437"/>
      <c r="E3" s="437"/>
      <c r="F3" s="437"/>
      <c r="G3" s="437"/>
    </row>
    <row r="4" spans="1:10" s="159" customFormat="1" ht="15.95" customHeight="1" thickBot="1">
      <c r="A4" s="157"/>
      <c r="B4" s="157"/>
      <c r="C4" s="157"/>
      <c r="D4" s="1908" t="s">
        <v>194</v>
      </c>
      <c r="E4" s="1908"/>
      <c r="F4" s="1908"/>
      <c r="G4" s="1908"/>
    </row>
    <row r="5" spans="1:10" s="177" customFormat="1" ht="36.75" customHeight="1" thickBo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10" s="165" customFormat="1" ht="12.95" customHeight="1">
      <c r="A6" s="160">
        <v>1</v>
      </c>
      <c r="B6" s="163">
        <v>2</v>
      </c>
      <c r="C6" s="163">
        <v>3</v>
      </c>
      <c r="D6" s="164">
        <v>4</v>
      </c>
      <c r="E6" s="164">
        <v>5</v>
      </c>
      <c r="F6" s="164">
        <v>6</v>
      </c>
      <c r="G6" s="164">
        <v>7</v>
      </c>
    </row>
    <row r="7" spans="1:10" s="165" customFormat="1" ht="20.25" customHeight="1" thickBot="1">
      <c r="A7" s="438"/>
      <c r="B7" s="439"/>
      <c r="C7" s="439" t="s">
        <v>196</v>
      </c>
      <c r="D7" s="440"/>
      <c r="E7" s="440"/>
      <c r="F7" s="440"/>
      <c r="G7" s="440"/>
      <c r="J7" s="441"/>
    </row>
    <row r="8" spans="1:10" s="173" customFormat="1" ht="15" customHeight="1" thickBot="1">
      <c r="A8" s="170" t="s">
        <v>4</v>
      </c>
      <c r="B8" s="442"/>
      <c r="C8" s="211" t="s">
        <v>762</v>
      </c>
      <c r="D8" s="242">
        <f>SUM(D9:D16)</f>
        <v>0</v>
      </c>
      <c r="E8" s="242">
        <f t="shared" ref="E8:G8" si="0">SUM(E9:E16)</f>
        <v>8723</v>
      </c>
      <c r="F8" s="242">
        <f t="shared" si="0"/>
        <v>8723</v>
      </c>
      <c r="G8" s="242">
        <f t="shared" si="0"/>
        <v>0</v>
      </c>
      <c r="J8" s="441"/>
    </row>
    <row r="9" spans="1:10" s="173" customFormat="1" ht="15" customHeight="1">
      <c r="A9" s="181"/>
      <c r="B9" s="175" t="s">
        <v>102</v>
      </c>
      <c r="C9" s="19" t="s">
        <v>22</v>
      </c>
      <c r="D9" s="243">
        <f>SUM('4.1 sz. mell'!D9+'4.2. sz. mell'!D9+'4.3 sz. mell'!D9+'4.4.sz. mell.'!D9+'4.5.sz. mell. '!D9+'4.6 sz. mell.'!D9+'4.7.sz. mell.'!D9)</f>
        <v>0</v>
      </c>
      <c r="E9" s="243">
        <f>SUM('4.1 sz. mell'!E9+'4.2. sz. mell'!E9+'4.3 sz. mell'!E9+'4.4.sz. mell.'!E9+'4.5.sz. mell. '!E9+'4.6 sz. mell.'!E9+'4.7.sz. mell.'!E9)</f>
        <v>0</v>
      </c>
      <c r="F9" s="243">
        <f>SUM('4.1 sz. mell'!F9+'4.2. sz. mell'!F9+'4.3 sz. mell'!F9+'4.4.sz. mell.'!F9+'4.5.sz. mell. '!F9+'4.6 sz. mell.'!F9+'4.7.sz. mell.'!F9)</f>
        <v>0</v>
      </c>
      <c r="G9" s="243">
        <f>SUM('4.1 sz. mell'!G9+'4.2. sz. mell'!G9+'4.3 sz. mell'!G9+'4.4.sz. mell.'!G9+'4.5.sz. mell. '!G9+'4.6 sz. mell.'!G9+'4.7.sz. mell.'!G9)</f>
        <v>0</v>
      </c>
      <c r="J9" s="441"/>
    </row>
    <row r="10" spans="1:10" s="173" customFormat="1" ht="15" customHeight="1">
      <c r="A10" s="174"/>
      <c r="B10" s="175" t="s">
        <v>104</v>
      </c>
      <c r="C10" s="15" t="s">
        <v>24</v>
      </c>
      <c r="D10" s="243">
        <f>SUM('4.1 sz. mell'!D10+'4.2. sz. mell'!D10+'4.3 sz. mell'!D10+'4.4.sz. mell.'!D10+'4.5.sz. mell. '!D10+'4.6 sz. mell.'!D10+'4.7.sz. mell.'!D10)</f>
        <v>0</v>
      </c>
      <c r="E10" s="243">
        <f>SUM('4.1 sz. mell'!E10+'4.2. sz. mell'!E10+'4.3 sz. mell'!E10+'4.4.sz. mell.'!E10+'4.5.sz. mell. '!E10+'4.6 sz. mell.'!E10+'4.7.sz. mell.'!E10)</f>
        <v>1802</v>
      </c>
      <c r="F10" s="243">
        <f>SUM('4.1 sz. mell'!F10+'4.2. sz. mell'!F10+'4.3 sz. mell'!F10+'4.4.sz. mell.'!F10+'4.5.sz. mell. '!F10+'4.6 sz. mell.'!F10+'4.7.sz. mell.'!F10)</f>
        <v>1802</v>
      </c>
      <c r="G10" s="243">
        <f>SUM('4.1 sz. mell'!G10+'4.2. sz. mell'!G10+'4.3 sz. mell'!G10+'4.4.sz. mell.'!G10+'4.5.sz. mell. '!G10+'4.6 sz. mell.'!G10+'4.7.sz. mell.'!G10)</f>
        <v>0</v>
      </c>
      <c r="J10" s="441"/>
    </row>
    <row r="11" spans="1:10" s="173" customFormat="1" ht="15" customHeight="1">
      <c r="A11" s="174"/>
      <c r="B11" s="175" t="s">
        <v>106</v>
      </c>
      <c r="C11" s="15" t="s">
        <v>26</v>
      </c>
      <c r="D11" s="243">
        <f>SUM('4.1 sz. mell'!D11+'4.2. sz. mell'!D11+'4.3 sz. mell'!D11+'4.4.sz. mell.'!D11+'4.5.sz. mell. '!D11+'4.6 sz. mell.'!D11+'4.7.sz. mell.'!D11)</f>
        <v>0</v>
      </c>
      <c r="E11" s="243">
        <f>SUM('4.1 sz. mell'!E11+'4.2. sz. mell'!E11+'4.3 sz. mell'!E11+'4.4.sz. mell.'!E11+'4.5.sz. mell. '!E11+'4.6 sz. mell.'!E11+'4.7.sz. mell.'!E11)</f>
        <v>0</v>
      </c>
      <c r="F11" s="243">
        <f>SUM('4.1 sz. mell'!F11+'4.2. sz. mell'!F11+'4.3 sz. mell'!F11+'4.4.sz. mell.'!F11+'4.5.sz. mell. '!F11+'4.6 sz. mell.'!F11+'4.7.sz. mell.'!F11)</f>
        <v>0</v>
      </c>
      <c r="G11" s="243">
        <f>SUM('4.1 sz. mell'!G11+'4.2. sz. mell'!G11+'4.3 sz. mell'!G11+'4.4.sz. mell.'!G11+'4.5.sz. mell. '!G11+'4.6 sz. mell.'!G11+'4.7.sz. mell.'!G11)</f>
        <v>0</v>
      </c>
      <c r="J11" s="441"/>
    </row>
    <row r="12" spans="1:10" s="173" customFormat="1" ht="15" customHeight="1">
      <c r="A12" s="174"/>
      <c r="B12" s="175" t="s">
        <v>108</v>
      </c>
      <c r="C12" s="15" t="s">
        <v>28</v>
      </c>
      <c r="D12" s="243">
        <f>SUM('4.1 sz. mell'!D12+'4.2. sz. mell'!D12+'4.3 sz. mell'!D12+'4.4.sz. mell.'!D12+'4.5.sz. mell. '!D12+'4.6 sz. mell.'!D12+'4.7.sz. mell.'!D12)</f>
        <v>0</v>
      </c>
      <c r="E12" s="243">
        <f>SUM('4.1 sz. mell'!E12+'4.2. sz. mell'!E12+'4.3 sz. mell'!E12+'4.4.sz. mell.'!E12+'4.5.sz. mell. '!E12+'4.6 sz. mell.'!E12+'4.7.sz. mell.'!E12)</f>
        <v>0</v>
      </c>
      <c r="F12" s="243">
        <f>SUM('4.1 sz. mell'!F12+'4.2. sz. mell'!F12+'4.3 sz. mell'!F12+'4.4.sz. mell.'!F12+'4.5.sz. mell. '!F12+'4.6 sz. mell.'!F12+'4.7.sz. mell.'!F12)</f>
        <v>0</v>
      </c>
      <c r="G12" s="243">
        <f>SUM('4.1 sz. mell'!G12+'4.2. sz. mell'!G12+'4.3 sz. mell'!G12+'4.4.sz. mell.'!G12+'4.5.sz. mell. '!G12+'4.6 sz. mell.'!G12+'4.7.sz. mell.'!G12)</f>
        <v>0</v>
      </c>
      <c r="J12" s="441"/>
    </row>
    <row r="13" spans="1:10" s="173" customFormat="1" ht="15" customHeight="1">
      <c r="A13" s="174"/>
      <c r="B13" s="175" t="s">
        <v>432</v>
      </c>
      <c r="C13" s="22" t="s">
        <v>30</v>
      </c>
      <c r="D13" s="243">
        <f>SUM('4.1 sz. mell'!D13+'4.2. sz. mell'!D13+'4.3 sz. mell'!D13+'4.4.sz. mell.'!D13+'4.5.sz. mell. '!D13+'4.6 sz. mell.'!D13+'4.7.sz. mell.'!D13)</f>
        <v>0</v>
      </c>
      <c r="E13" s="243">
        <f>SUM('4.1 sz. mell'!E13+'4.2. sz. mell'!E13+'4.3 sz. mell'!E13+'4.4.sz. mell.'!E13+'4.5.sz. mell. '!E13+'4.6 sz. mell.'!E13+'4.7.sz. mell.'!E13)</f>
        <v>0</v>
      </c>
      <c r="F13" s="243">
        <f>SUM('4.1 sz. mell'!F13+'4.2. sz. mell'!F13+'4.3 sz. mell'!F13+'4.4.sz. mell.'!F13+'4.5.sz. mell. '!F13+'4.6 sz. mell.'!F13+'4.7.sz. mell.'!F13)</f>
        <v>0</v>
      </c>
      <c r="G13" s="243">
        <f>SUM('4.1 sz. mell'!G13+'4.2. sz. mell'!G13+'4.3 sz. mell'!G13+'4.4.sz. mell.'!G13+'4.5.sz. mell. '!G13+'4.6 sz. mell.'!G13+'4.7.sz. mell.'!G13)</f>
        <v>0</v>
      </c>
    </row>
    <row r="14" spans="1:10" s="173" customFormat="1" ht="15" customHeight="1">
      <c r="A14" s="178"/>
      <c r="B14" s="175" t="s">
        <v>434</v>
      </c>
      <c r="C14" s="15" t="s">
        <v>32</v>
      </c>
      <c r="D14" s="243">
        <f>SUM('4.1 sz. mell'!D14+'4.2. sz. mell'!D14+'4.3 sz. mell'!D14+'4.4.sz. mell.'!D14+'4.5.sz. mell. '!D14+'4.6 sz. mell.'!D14+'4.7.sz. mell.'!D14)</f>
        <v>0</v>
      </c>
      <c r="E14" s="243">
        <f>SUM('4.1 sz. mell'!E14+'4.2. sz. mell'!E14+'4.3 sz. mell'!E14+'4.4.sz. mell.'!E14+'4.5.sz. mell. '!E14+'4.6 sz. mell.'!E14+'4.7.sz. mell.'!E14)</f>
        <v>44</v>
      </c>
      <c r="F14" s="243">
        <f>SUM('4.1 sz. mell'!F14+'4.2. sz. mell'!F14+'4.3 sz. mell'!F14+'4.4.sz. mell.'!F14+'4.5.sz. mell. '!F14+'4.6 sz. mell.'!F14+'4.7.sz. mell.'!F14)</f>
        <v>44</v>
      </c>
      <c r="G14" s="243">
        <f>SUM('4.1 sz. mell'!G14+'4.2. sz. mell'!G14+'4.3 sz. mell'!G14+'4.4.sz. mell.'!G14+'4.5.sz. mell. '!G14+'4.6 sz. mell.'!G14+'4.7.sz. mell.'!G14)</f>
        <v>0</v>
      </c>
      <c r="J14" s="441"/>
    </row>
    <row r="15" spans="1:10" s="177" customFormat="1" ht="15" customHeight="1">
      <c r="A15" s="174"/>
      <c r="B15" s="175" t="s">
        <v>437</v>
      </c>
      <c r="C15" s="15" t="s">
        <v>34</v>
      </c>
      <c r="D15" s="243">
        <f>SUM('4.1 sz. mell'!D15+'4.2. sz. mell'!D15+'4.3 sz. mell'!D15+'4.4.sz. mell.'!D15+'4.5.sz. mell. '!D15+'4.6 sz. mell.'!D15+'4.7.sz. mell.'!D15)</f>
        <v>0</v>
      </c>
      <c r="E15" s="243">
        <f>SUM('4.1 sz. mell'!E15+'4.2. sz. mell'!E15+'4.3 sz. mell'!E15+'4.4.sz. mell.'!E15+'4.5.sz. mell. '!E15+'4.6 sz. mell.'!E15+'4.7.sz. mell.'!E15)</f>
        <v>26</v>
      </c>
      <c r="F15" s="243">
        <f>SUM('4.1 sz. mell'!F15+'4.2. sz. mell'!F15+'4.3 sz. mell'!F15+'4.4.sz. mell.'!F15+'4.5.sz. mell. '!F15+'4.6 sz. mell.'!F15+'4.7.sz. mell.'!F15)</f>
        <v>26</v>
      </c>
      <c r="G15" s="243">
        <f>SUM('4.1 sz. mell'!G15+'4.2. sz. mell'!G15+'4.3 sz. mell'!G15+'4.4.sz. mell.'!G15+'4.5.sz. mell. '!G15+'4.6 sz. mell.'!G15+'4.7.sz. mell.'!G15)</f>
        <v>0</v>
      </c>
      <c r="J15" s="441"/>
    </row>
    <row r="16" spans="1:10" s="177" customFormat="1" ht="15" customHeight="1" thickBot="1">
      <c r="A16" s="183"/>
      <c r="B16" s="184" t="s">
        <v>439</v>
      </c>
      <c r="C16" s="22" t="s">
        <v>36</v>
      </c>
      <c r="D16" s="243">
        <f>SUM('4.1 sz. mell'!D16+'4.2. sz. mell'!D16+'4.3 sz. mell'!D16+'4.4.sz. mell.'!D16+'4.5.sz. mell. '!D16+'4.6 sz. mell.'!D16+'4.7.sz. mell.'!D16)</f>
        <v>0</v>
      </c>
      <c r="E16" s="243">
        <f>SUM('4.1 sz. mell'!E16+'4.2. sz. mell'!E16+'4.3 sz. mell'!E16+'4.4.sz. mell.'!E16+'4.5.sz. mell. '!E16+'4.6 sz. mell.'!E16+'4.7.sz. mell.'!E16)</f>
        <v>6851</v>
      </c>
      <c r="F16" s="243">
        <f>SUM('4.1 sz. mell'!F16+'4.2. sz. mell'!F16+'4.3 sz. mell'!F16+'4.4.sz. mell.'!F16+'4.5.sz. mell. '!F16+'4.6 sz. mell.'!F16+'4.7.sz. mell.'!F16)</f>
        <v>6851</v>
      </c>
      <c r="G16" s="243">
        <f>SUM('4.1 sz. mell'!G16+'4.2. sz. mell'!G16+'4.3 sz. mell'!G16+'4.4.sz. mell.'!G16+'4.5.sz. mell. '!G16+'4.6 sz. mell.'!G16+'4.7.sz. mell.'!G16)</f>
        <v>0</v>
      </c>
      <c r="J16" s="441"/>
    </row>
    <row r="17" spans="1:10" s="173" customFormat="1" ht="15" customHeight="1" thickBot="1">
      <c r="A17" s="170" t="s">
        <v>5</v>
      </c>
      <c r="B17" s="241"/>
      <c r="C17" s="211" t="s">
        <v>1635</v>
      </c>
      <c r="D17" s="242">
        <f>SUM(D18:D21)</f>
        <v>54666</v>
      </c>
      <c r="E17" s="242">
        <f t="shared" ref="E17:G17" si="1">SUM(E18:E21)</f>
        <v>120732</v>
      </c>
      <c r="F17" s="242">
        <f t="shared" si="1"/>
        <v>120732</v>
      </c>
      <c r="G17" s="242">
        <f t="shared" si="1"/>
        <v>700</v>
      </c>
    </row>
    <row r="18" spans="1:10" s="177" customFormat="1" ht="15" customHeight="1">
      <c r="A18" s="174"/>
      <c r="B18" s="175" t="s">
        <v>6</v>
      </c>
      <c r="C18" s="27" t="s">
        <v>1636</v>
      </c>
      <c r="D18" s="243">
        <f>SUM('4.1 sz. mell'!D18+'4.2. sz. mell'!D18+'4.3 sz. mell'!D18+'4.4.sz. mell.'!D18+'4.5.sz. mell. '!D18+'4.6 sz. mell.'!D18+'4.7.sz. mell.'!D18+'4.8.sz. mell.'!D18)</f>
        <v>54666</v>
      </c>
      <c r="E18" s="243">
        <f>SUM('4.1 sz. mell'!E18+'4.2. sz. mell'!E18+'4.3 sz. mell'!E18+'4.4.sz. mell.'!E18+'4.5.sz. mell. '!E18+'4.6 sz. mell.'!E18+'4.7.sz. mell.'!E18+'4.8.sz. mell.'!E18)</f>
        <v>111469</v>
      </c>
      <c r="F18" s="243">
        <f>SUM('4.1 sz. mell'!F18+'4.2. sz. mell'!F18+'4.3 sz. mell'!F18+'4.4.sz. mell.'!F18+'4.5.sz. mell. '!F18+'4.6 sz. mell.'!F18+'4.7.sz. mell.'!F18+'4.8.sz. mell.'!F18)</f>
        <v>111469</v>
      </c>
      <c r="G18" s="243">
        <f>SUM('4.1 sz. mell'!G18+'4.2. sz. mell'!G18+'4.3 sz. mell'!G18+'4.4.sz. mell.'!G18+'4.5.sz. mell. '!G18+'4.6 sz. mell.'!G18+'4.7.sz. mell.'!G18+'4.8.sz. mell.'!G18)</f>
        <v>700</v>
      </c>
      <c r="H18" s="173"/>
      <c r="I18" s="173"/>
      <c r="J18" s="173"/>
    </row>
    <row r="19" spans="1:10" s="177" customFormat="1" ht="15" customHeight="1">
      <c r="A19" s="174"/>
      <c r="B19" s="175" t="s">
        <v>8</v>
      </c>
      <c r="C19" s="15" t="s">
        <v>1637</v>
      </c>
      <c r="D19" s="243">
        <f>SUM('4.1 sz. mell'!D19+'4.2. sz. mell'!D19+'4.3 sz. mell'!D19+'4.4.sz. mell.'!D19+'4.5.sz. mell. '!D19+'4.6 sz. mell.'!D19+'4.7.sz. mell.'!D19)</f>
        <v>0</v>
      </c>
      <c r="E19" s="243">
        <f>SUM('4.1 sz. mell'!E19+'4.2. sz. mell'!E19+'4.3 sz. mell'!E19+'4.4.sz. mell.'!E19+'4.5.sz. mell. '!E19+'4.6 sz. mell.'!E19+'4.7.sz. mell.'!E19)</f>
        <v>8018</v>
      </c>
      <c r="F19" s="243">
        <f>SUM('4.1 sz. mell'!F19+'4.2. sz. mell'!F19+'4.3 sz. mell'!F19+'4.4.sz. mell.'!F19+'4.5.sz. mell. '!F19+'4.6 sz. mell.'!F19+'4.7.sz. mell.'!F19)</f>
        <v>8018</v>
      </c>
      <c r="G19" s="243">
        <f>SUM('4.1 sz. mell'!G19+'4.2. sz. mell'!G19+'4.3 sz. mell'!G19+'4.4.sz. mell.'!G19+'4.5.sz. mell. '!G19+'4.6 sz. mell.'!G19+'4.7.sz. mell.'!G19)</f>
        <v>0</v>
      </c>
      <c r="H19" s="173"/>
      <c r="I19" s="173"/>
      <c r="J19" s="173"/>
    </row>
    <row r="20" spans="1:10" s="177" customFormat="1" ht="15" customHeight="1">
      <c r="A20" s="174"/>
      <c r="B20" s="175" t="s">
        <v>10</v>
      </c>
      <c r="C20" s="15" t="s">
        <v>766</v>
      </c>
      <c r="D20" s="243">
        <f>SUM('4.1 sz. mell'!D20+'4.2. sz. mell'!D20+'4.3 sz. mell'!D20+'4.4.sz. mell.'!D20+'4.5.sz. mell. '!D20+'4.6 sz. mell.'!D20+'4.7.sz. mell.'!D20)</f>
        <v>0</v>
      </c>
      <c r="E20" s="243">
        <f>SUM('4.1 sz. mell'!E20+'4.2. sz. mell'!E20+'4.3 sz. mell'!E20+'4.4.sz. mell.'!E20+'4.5.sz. mell. '!E20+'4.6 sz. mell.'!E20+'4.7.sz. mell.'!E20)</f>
        <v>0</v>
      </c>
      <c r="F20" s="243">
        <f>SUM('4.1 sz. mell'!F20+'4.2. sz. mell'!F20+'4.3 sz. mell'!F20+'4.4.sz. mell.'!F20+'4.5.sz. mell. '!F20+'4.6 sz. mell.'!F20+'4.7.sz. mell.'!F20)</f>
        <v>0</v>
      </c>
      <c r="G20" s="243">
        <f>SUM('4.1 sz. mell'!G20+'4.2. sz. mell'!G20+'4.3 sz. mell'!G20+'4.4.sz. mell.'!G20+'4.5.sz. mell. '!G20+'4.6 sz. mell.'!G20+'4.7.sz. mell.'!G20)</f>
        <v>0</v>
      </c>
      <c r="H20" s="173"/>
      <c r="I20" s="173"/>
      <c r="J20" s="173"/>
    </row>
    <row r="21" spans="1:10" s="177" customFormat="1" ht="15" customHeight="1" thickBot="1">
      <c r="A21" s="174"/>
      <c r="B21" s="175" t="s">
        <v>12</v>
      </c>
      <c r="C21" s="83" t="s">
        <v>767</v>
      </c>
      <c r="D21" s="246">
        <f>SUM('4.1 sz. mell'!D21+'4.2. sz. mell'!D21+'4.3 sz. mell'!D21+'4.4.sz. mell.'!D21+'4.5.sz. mell. '!D21+'4.6 sz. mell.'!D21+'4.7.sz. mell.'!D21)</f>
        <v>0</v>
      </c>
      <c r="E21" s="246">
        <f>SUM('4.1 sz. mell'!E21+'4.2. sz. mell'!E21+'4.3 sz. mell'!E21+'4.4.sz. mell.'!E21+'4.5.sz. mell. '!E21+'4.6 sz. mell.'!E21+'4.7.sz. mell.'!E21)</f>
        <v>1245</v>
      </c>
      <c r="F21" s="246">
        <f>SUM('4.1 sz. mell'!F21+'4.2. sz. mell'!F21+'4.3 sz. mell'!F21+'4.4.sz. mell.'!F21+'4.5.sz. mell. '!F21+'4.6 sz. mell.'!F21+'4.7.sz. mell.'!F21)</f>
        <v>1245</v>
      </c>
      <c r="G21" s="246">
        <f>SUM('4.1 sz. mell'!G21+'4.2. sz. mell'!G21+'4.3 sz. mell'!G21+'4.4.sz. mell.'!G21+'4.5.sz. mell. '!G21+'4.6 sz. mell.'!G21+'4.7.sz. mell.'!G21)</f>
        <v>0</v>
      </c>
      <c r="H21" s="173"/>
      <c r="I21" s="173"/>
      <c r="J21" s="173"/>
    </row>
    <row r="22" spans="1:10" s="177" customFormat="1" ht="15" customHeight="1" thickBot="1">
      <c r="A22" s="170" t="s">
        <v>19</v>
      </c>
      <c r="B22" s="443"/>
      <c r="C22" s="211" t="s">
        <v>768</v>
      </c>
      <c r="D22" s="444">
        <f>SUM('4.1 sz. mell'!D22+'4.2. sz. mell'!D22+'4.3 sz. mell'!D22+'4.4.sz. mell.'!D22+'4.5.sz. mell. '!D22+'4.6 sz. mell.'!D22+'4.7.sz. mell.'!D22)</f>
        <v>0</v>
      </c>
      <c r="E22" s="444">
        <f>SUM('4.1 sz. mell'!E22+'4.2. sz. mell'!E22+'4.3 sz. mell'!E22+'4.4.sz. mell.'!E22+'4.5.sz. mell. '!E22+'4.6 sz. mell.'!E22+'4.7.sz. mell.'!E22)</f>
        <v>6</v>
      </c>
      <c r="F22" s="444">
        <f>SUM('4.1 sz. mell'!F22+'4.2. sz. mell'!F22+'4.3 sz. mell'!F22+'4.4.sz. mell.'!F22+'4.5.sz. mell. '!F22+'4.6 sz. mell.'!F22+'4.7.sz. mell.'!F22)</f>
        <v>6</v>
      </c>
      <c r="G22" s="444">
        <f>SUM('4.1 sz. mell'!G22+'4.2. sz. mell'!G22+'4.3 sz. mell'!G22+'4.4.sz. mell.'!G22+'4.5.sz. mell. '!G22+'4.6 sz. mell.'!G22+'4.7.sz. mell.'!G22)</f>
        <v>0</v>
      </c>
      <c r="H22" s="173"/>
      <c r="I22" s="173"/>
      <c r="J22" s="173"/>
    </row>
    <row r="23" spans="1:10" s="177" customFormat="1" ht="15" customHeight="1" thickBot="1">
      <c r="A23" s="170" t="s">
        <v>149</v>
      </c>
      <c r="B23" s="443"/>
      <c r="C23" s="211" t="s">
        <v>769</v>
      </c>
      <c r="D23" s="209">
        <f>SUM('4.1 sz. mell'!D23+'4.2. sz. mell'!D23+'4.3 sz. mell'!D23+'4.4.sz. mell.'!D23+'4.5.sz. mell. '!D23+'4.6 sz. mell.'!D23+'4.7.sz. mell.'!D23)</f>
        <v>0</v>
      </c>
      <c r="E23" s="209">
        <f>SUM('4.1 sz. mell'!E23+'4.2. sz. mell'!E23+'4.3 sz. mell'!E23+'4.4.sz. mell.'!E23+'4.5.sz. mell. '!E23+'4.6 sz. mell.'!E23+'4.7.sz. mell.'!E23)</f>
        <v>295</v>
      </c>
      <c r="F23" s="209">
        <f>SUM('4.1 sz. mell'!F23+'4.2. sz. mell'!F23+'4.3 sz. mell'!F23+'4.4.sz. mell.'!F23+'4.5.sz. mell. '!F23+'4.6 sz. mell.'!F23+'4.7.sz. mell.'!F23)</f>
        <v>295</v>
      </c>
      <c r="G23" s="209">
        <f>SUM('4.1 sz. mell'!G23+'4.2. sz. mell'!G23+'4.3 sz. mell'!G23+'4.4.sz. mell.'!G23+'4.5.sz. mell. '!G23+'4.6 sz. mell.'!G23+'4.7.sz. mell.'!G23)</f>
        <v>0</v>
      </c>
      <c r="H23" s="173"/>
      <c r="I23" s="173"/>
      <c r="J23" s="173"/>
    </row>
    <row r="24" spans="1:10" s="173" customFormat="1" ht="15" customHeight="1" thickBot="1">
      <c r="A24" s="170" t="s">
        <v>38</v>
      </c>
      <c r="B24" s="241"/>
      <c r="C24" s="211" t="s">
        <v>770</v>
      </c>
      <c r="D24" s="209">
        <f>SUM('4.1 sz. mell'!D24+'4.2. sz. mell'!D24+'4.3 sz. mell'!D24+'4.4.sz. mell.'!D24+'4.5.sz. mell. '!D24+'4.6 sz. mell.'!D24+'4.7.sz. mell.'!D24)</f>
        <v>0</v>
      </c>
      <c r="E24" s="209">
        <f>SUM('4.1 sz. mell'!E24+'4.2. sz. mell'!E24+'4.3 sz. mell'!E24+'4.4.sz. mell.'!E24+'4.5.sz. mell. '!E24+'4.6 sz. mell.'!E24+'4.7.sz. mell.'!E24)</f>
        <v>9</v>
      </c>
      <c r="F24" s="209">
        <f>SUM('4.1 sz. mell'!F24+'4.2. sz. mell'!F24+'4.3 sz. mell'!F24+'4.4.sz. mell.'!F24+'4.5.sz. mell. '!F24+'4.6 sz. mell.'!F24+'4.7.sz. mell.'!F24)</f>
        <v>9</v>
      </c>
      <c r="G24" s="209">
        <f>SUM('4.1 sz. mell'!G24+'4.2. sz. mell'!G24+'4.3 sz. mell'!G24+'4.4.sz. mell.'!G24+'4.5.sz. mell. '!G24+'4.6 sz. mell.'!G24+'4.7.sz. mell.'!G24)</f>
        <v>0</v>
      </c>
    </row>
    <row r="25" spans="1:10" s="173" customFormat="1" ht="15" customHeight="1" thickBot="1">
      <c r="A25" s="170" t="s">
        <v>48</v>
      </c>
      <c r="B25" s="445"/>
      <c r="C25" s="211" t="s">
        <v>771</v>
      </c>
      <c r="D25" s="446">
        <f>+D26+D27</f>
        <v>0</v>
      </c>
      <c r="E25" s="446">
        <f t="shared" ref="E25:G25" si="2">+E26+E27</f>
        <v>2614</v>
      </c>
      <c r="F25" s="446">
        <f t="shared" si="2"/>
        <v>2614</v>
      </c>
      <c r="G25" s="446">
        <f t="shared" si="2"/>
        <v>0</v>
      </c>
    </row>
    <row r="26" spans="1:10" s="173" customFormat="1" ht="15" customHeight="1">
      <c r="A26" s="181"/>
      <c r="B26" s="175" t="s">
        <v>49</v>
      </c>
      <c r="C26" s="27" t="s">
        <v>772</v>
      </c>
      <c r="D26" s="243">
        <f>SUM('4.1 sz. mell'!D26+'4.2. sz. mell'!D26+'4.3 sz. mell'!D26+'4.4.sz. mell.'!D26+'4.5.sz. mell. '!D26+'4.6 sz. mell.'!D26+'4.7.sz. mell.'!D26)</f>
        <v>0</v>
      </c>
      <c r="E26" s="243">
        <f>SUM('4.1 sz. mell'!E26+'4.2. sz. mell'!E26+'4.3 sz. mell'!E26+'4.4.sz. mell.'!E26+'4.5.sz. mell. '!E26+'4.6 sz. mell.'!E26+'4.7.sz. mell.'!E26)</f>
        <v>2614</v>
      </c>
      <c r="F26" s="243">
        <f>SUM('4.1 sz. mell'!F26+'4.2. sz. mell'!F26+'4.3 sz. mell'!F26+'4.4.sz. mell.'!F26+'4.5.sz. mell. '!F26+'4.6 sz. mell.'!F26+'4.7.sz. mell.'!F26)</f>
        <v>2614</v>
      </c>
      <c r="G26" s="243">
        <f>SUM('4.1 sz. mell'!G26+'4.2. sz. mell'!G26+'4.3 sz. mell'!G26+'4.4.sz. mell.'!G26+'4.5.sz. mell. '!G26+'4.6 sz. mell.'!G26+'4.7.sz. mell.'!G26)</f>
        <v>0</v>
      </c>
    </row>
    <row r="27" spans="1:10" s="173" customFormat="1" ht="15" customHeight="1" thickBot="1">
      <c r="A27" s="191"/>
      <c r="B27" s="175" t="s">
        <v>62</v>
      </c>
      <c r="C27" s="83" t="s">
        <v>773</v>
      </c>
      <c r="D27" s="246">
        <f>SUM('4.1 sz. mell'!D27+'4.2. sz. mell'!D27+'4.3 sz. mell'!D27+'4.4.sz. mell.'!D27+'4.5.sz. mell. '!D27+'4.6 sz. mell.'!D27+'4.7.sz. mell.'!D27)</f>
        <v>0</v>
      </c>
      <c r="E27" s="246">
        <f>SUM('4.1 sz. mell'!E27+'4.2. sz. mell'!E27+'4.3 sz. mell'!E27+'4.4.sz. mell.'!E27+'4.5.sz. mell. '!E27+'4.6 sz. mell.'!E27+'4.7.sz. mell.'!E27)</f>
        <v>0</v>
      </c>
      <c r="F27" s="246">
        <f>SUM('4.1 sz. mell'!F27+'4.2. sz. mell'!F27+'4.3 sz. mell'!F27+'4.4.sz. mell.'!F27+'4.5.sz. mell. '!F27+'4.6 sz. mell.'!F27+'4.7.sz. mell.'!F27)</f>
        <v>0</v>
      </c>
      <c r="G27" s="246">
        <f>SUM('4.1 sz. mell'!G27+'4.2. sz. mell'!G27+'4.3 sz. mell'!G27+'4.4.sz. mell.'!G27+'4.5.sz. mell. '!G27+'4.6 sz. mell.'!G27+'4.7.sz. mell.'!G27)</f>
        <v>0</v>
      </c>
    </row>
    <row r="28" spans="1:10" s="177" customFormat="1" ht="15" customHeight="1" thickBot="1">
      <c r="A28" s="170" t="s">
        <v>178</v>
      </c>
      <c r="B28" s="210"/>
      <c r="C28" s="211" t="s">
        <v>274</v>
      </c>
      <c r="D28" s="246">
        <f>'4.1 sz. mell'!D28+'4.2. sz. mell'!D28+'4.3 sz. mell'!D28+'4.4.sz. mell.'!D28+'4.5.sz. mell. '!D28+'4.6 sz. mell.'!D28+'4.7.sz. mell.'!D28+'4.8.sz. mell.'!D28</f>
        <v>548607</v>
      </c>
      <c r="E28" s="246">
        <f>'4.1 sz. mell'!E28+'4.2. sz. mell'!E28+'4.3 sz. mell'!E28+'4.4.sz. mell.'!E28+'4.5.sz. mell. '!E28+'4.6 sz. mell.'!E28+'4.7.sz. mell.'!E28+'4.8.sz. mell.'!E28</f>
        <v>579267</v>
      </c>
      <c r="F28" s="246">
        <f>'4.1 sz. mell'!F28+'4.2. sz. mell'!F28+'4.3 sz. mell'!F28+'4.4.sz. mell.'!F28+'4.5.sz. mell. '!F28+'4.6 sz. mell.'!F28+'4.7.sz. mell.'!F28+'4.8.sz. mell.'!F28</f>
        <v>579267</v>
      </c>
      <c r="G28" s="111">
        <f t="shared" ref="G28:G30" si="3">SUM(F28/E28)*100</f>
        <v>100</v>
      </c>
      <c r="H28" s="173"/>
      <c r="I28" s="726">
        <f>SUM(D48-D30)</f>
        <v>0</v>
      </c>
      <c r="J28" s="173"/>
    </row>
    <row r="29" spans="1:10" s="177" customFormat="1" ht="15" customHeight="1" thickBot="1">
      <c r="A29" s="201"/>
      <c r="B29" s="202"/>
      <c r="C29" s="12" t="s">
        <v>774</v>
      </c>
      <c r="D29" s="209"/>
      <c r="E29" s="209"/>
      <c r="F29" s="209">
        <f>'4.1 sz. mell'!F29</f>
        <v>-69</v>
      </c>
      <c r="G29" s="111"/>
      <c r="I29" s="1281" t="s">
        <v>2052</v>
      </c>
      <c r="J29" s="1281" t="s">
        <v>1811</v>
      </c>
    </row>
    <row r="30" spans="1:10" s="177" customFormat="1" ht="18" customHeight="1" thickBot="1">
      <c r="A30" s="256" t="s">
        <v>74</v>
      </c>
      <c r="B30" s="447"/>
      <c r="C30" s="448" t="s">
        <v>775</v>
      </c>
      <c r="D30" s="258">
        <f>SUM(D8,D17,D22,D23,D24,D25,D28)</f>
        <v>603273</v>
      </c>
      <c r="E30" s="258">
        <f t="shared" ref="E30" si="4">SUM(E8,E17,E22,E23,E24,E25,E28)</f>
        <v>711646</v>
      </c>
      <c r="F30" s="258">
        <f>SUM(F8,F17,F22,F23,F24,F25,F28,F29)</f>
        <v>711577</v>
      </c>
      <c r="G30" s="111">
        <f t="shared" si="3"/>
        <v>99.990304168083568</v>
      </c>
      <c r="I30" s="1279">
        <v>711577</v>
      </c>
      <c r="J30" s="1280">
        <f>SUM(I30-F30)</f>
        <v>0</v>
      </c>
    </row>
    <row r="31" spans="1:10" s="177" customFormat="1" ht="15" customHeight="1" thickBot="1">
      <c r="A31" s="449"/>
      <c r="B31" s="259"/>
      <c r="C31" s="260"/>
      <c r="D31" s="261"/>
      <c r="E31" s="261"/>
      <c r="F31" s="261"/>
      <c r="G31" s="261"/>
    </row>
    <row r="32" spans="1:10" s="165" customFormat="1" ht="21" customHeight="1" thickBot="1">
      <c r="A32" s="438"/>
      <c r="B32" s="439"/>
      <c r="C32" s="439" t="s">
        <v>197</v>
      </c>
      <c r="D32" s="440"/>
      <c r="E32" s="440"/>
      <c r="F32" s="440"/>
      <c r="G32" s="440"/>
    </row>
    <row r="33" spans="1:10" s="221" customFormat="1" ht="15" customHeight="1" thickBot="1">
      <c r="A33" s="170" t="s">
        <v>4</v>
      </c>
      <c r="B33" s="443"/>
      <c r="C33" s="337" t="s">
        <v>293</v>
      </c>
      <c r="D33" s="111">
        <f>SUM(D34:D38)</f>
        <v>578773</v>
      </c>
      <c r="E33" s="111">
        <f t="shared" ref="E33:F33" si="5">SUM(E34:E38)</f>
        <v>702456</v>
      </c>
      <c r="F33" s="111">
        <f t="shared" si="5"/>
        <v>702451</v>
      </c>
      <c r="G33" s="111">
        <f>SUM(F33/E33)*100</f>
        <v>99.999288211646004</v>
      </c>
    </row>
    <row r="34" spans="1:10" ht="15" customHeight="1" thickBot="1">
      <c r="A34" s="193"/>
      <c r="B34" s="175" t="s">
        <v>102</v>
      </c>
      <c r="C34" s="15" t="s">
        <v>103</v>
      </c>
      <c r="D34" s="243">
        <f>SUM('4.1 sz. mell'!D34+'4.2. sz. mell'!D34+'4.3 sz. mell'!D34+'4.4.sz. mell.'!D34+'4.5.sz. mell. '!D34+'4.6 sz. mell.'!D35+'4.7.sz. mell.'!D34+'4.8.sz. mell.'!D35)</f>
        <v>347693</v>
      </c>
      <c r="E34" s="243">
        <f>SUM('4.1 sz. mell'!E34+'4.2. sz. mell'!E34+'4.3 sz. mell'!E34+'4.4.sz. mell.'!E34+'4.5.sz. mell. '!E34+'4.6 sz. mell.'!E35+'4.7.sz. mell.'!E34+'4.8.sz. mell.'!E35)</f>
        <v>422510</v>
      </c>
      <c r="F34" s="243">
        <f>SUM('4.1 sz. mell'!F34+'4.2. sz. mell'!F34+'4.3 sz. mell'!F34+'4.4.sz. mell.'!F34+'4.5.sz. mell. '!F34+'4.6 sz. mell.'!F35+'4.7.sz. mell.'!F34+'4.8.sz. mell.'!F35)</f>
        <v>422510</v>
      </c>
      <c r="G34" s="111">
        <f t="shared" ref="G34:G48" si="6">SUM(F34/E34)*100</f>
        <v>100</v>
      </c>
    </row>
    <row r="35" spans="1:10" ht="15" customHeight="1" thickBot="1">
      <c r="A35" s="174"/>
      <c r="B35" s="175" t="s">
        <v>104</v>
      </c>
      <c r="C35" s="15" t="s">
        <v>105</v>
      </c>
      <c r="D35" s="243">
        <f>SUM('4.1 sz. mell'!D35+'4.2. sz. mell'!D35+'4.3 sz. mell'!D35+'4.4.sz. mell.'!D35+'4.5.sz. mell. '!D35+'4.6 sz. mell.'!D36+'4.7.sz. mell.'!D35+'4.8.sz. mell.'!D36)</f>
        <v>91754</v>
      </c>
      <c r="E35" s="243">
        <f>SUM('4.1 sz. mell'!E35+'4.2. sz. mell'!E35+'4.3 sz. mell'!E35+'4.4.sz. mell.'!E35+'4.5.sz. mell. '!E35+'4.6 sz. mell.'!E36+'4.7.sz. mell.'!E35+'4.8.sz. mell.'!E36)</f>
        <v>105163</v>
      </c>
      <c r="F35" s="243">
        <f>SUM('4.1 sz. mell'!F35+'4.2. sz. mell'!F35+'4.3 sz. mell'!F35+'4.4.sz. mell.'!F35+'4.5.sz. mell. '!F35+'4.6 sz. mell.'!F36+'4.7.sz. mell.'!F35+'4.8.sz. mell.'!F36)</f>
        <v>105163</v>
      </c>
      <c r="G35" s="111">
        <f t="shared" si="6"/>
        <v>100</v>
      </c>
    </row>
    <row r="36" spans="1:10" ht="15" customHeight="1" thickBot="1">
      <c r="A36" s="174"/>
      <c r="B36" s="175" t="s">
        <v>106</v>
      </c>
      <c r="C36" s="15" t="s">
        <v>107</v>
      </c>
      <c r="D36" s="243">
        <f>SUM('4.1 sz. mell'!D36+'4.2. sz. mell'!D36+'4.3 sz. mell'!D36+'4.4.sz. mell.'!D36+'4.5.sz. mell. '!D36+'4.6 sz. mell.'!D37+'4.7.sz. mell.'!D36+'4.8.sz. mell.'!D37)</f>
        <v>116326</v>
      </c>
      <c r="E36" s="243">
        <f>SUM('4.1 sz. mell'!E36+'4.2. sz. mell'!E36+'4.3 sz. mell'!E36+'4.4.sz. mell.'!E36+'4.5.sz. mell. '!E36+'4.6 sz. mell.'!E37+'4.7.sz. mell.'!E36+'4.8.sz. mell.'!E37)</f>
        <v>102040</v>
      </c>
      <c r="F36" s="243">
        <f>SUM('4.1 sz. mell'!F36+'4.2. sz. mell'!F36+'4.3 sz. mell'!F36+'4.4.sz. mell.'!F36+'4.5.sz. mell. '!F36+'4.6 sz. mell.'!F37+'4.7.sz. mell.'!F36+'4.8.sz. mell.'!F37)</f>
        <v>102040</v>
      </c>
      <c r="G36" s="111">
        <f t="shared" si="6"/>
        <v>100</v>
      </c>
    </row>
    <row r="37" spans="1:10" ht="15" customHeight="1" thickBot="1">
      <c r="A37" s="174"/>
      <c r="B37" s="175" t="s">
        <v>108</v>
      </c>
      <c r="C37" s="15" t="s">
        <v>275</v>
      </c>
      <c r="D37" s="243">
        <f>SUM('4.1 sz. mell'!D37+'4.2. sz. mell'!D37+'4.3 sz. mell'!D37+'4.4.sz. mell.'!D37+'4.5.sz. mell. '!D37+'4.6 sz. mell.'!D38+'4.7.sz. mell.'!D37+'4.8.sz. mell.'!D38)</f>
        <v>23000</v>
      </c>
      <c r="E37" s="243">
        <f>SUM('4.1 sz. mell'!E37+'4.2. sz. mell'!E37+'4.3 sz. mell'!E37+'4.4.sz. mell.'!E37+'4.5.sz. mell. '!E37+'4.6 sz. mell.'!E38+'4.7.sz. mell.'!E37+'4.8.sz. mell.'!E38)</f>
        <v>72743</v>
      </c>
      <c r="F37" s="243">
        <f>SUM('4.1 sz. mell'!F37+'4.2. sz. mell'!F37+'4.3 sz. mell'!F37+'4.4.sz. mell.'!F37+'4.5.sz. mell. '!F37+'4.6 sz. mell.'!F38+'4.7.sz. mell.'!F37+'4.8.sz. mell.'!F38)</f>
        <v>72738</v>
      </c>
      <c r="G37" s="111">
        <f t="shared" si="6"/>
        <v>99.993126486397315</v>
      </c>
    </row>
    <row r="38" spans="1:10" ht="15" customHeight="1" thickBot="1">
      <c r="A38" s="174"/>
      <c r="B38" s="175" t="s">
        <v>110</v>
      </c>
      <c r="C38" s="15" t="s">
        <v>111</v>
      </c>
      <c r="D38" s="243">
        <f>SUM('4.1 sz. mell'!D38+'4.2. sz. mell'!D38+'4.3 sz. mell'!D38+'4.4.sz. mell.'!D38+'4.5.sz. mell. '!D38+'4.6 sz. mell.'!D39+'4.7.sz. mell.'!D38+'4.8.sz. mell.'!D39)</f>
        <v>0</v>
      </c>
      <c r="E38" s="243">
        <f>SUM('4.1 sz. mell'!E38+'4.2. sz. mell'!E38+'4.3 sz. mell'!E38+'4.4.sz. mell.'!E38+'4.5.sz. mell. '!E38+'4.6 sz. mell.'!E39+'4.7.sz. mell.'!E38+'4.8.sz. mell.'!E39)</f>
        <v>0</v>
      </c>
      <c r="F38" s="243">
        <f>SUM('4.1 sz. mell'!F38+'4.2. sz. mell'!F38+'4.3 sz. mell'!F38+'4.4.sz. mell.'!F38+'4.5.sz. mell. '!F38+'4.6 sz. mell.'!F39+'4.7.sz. mell.'!F38+'4.8.sz. mell.'!F39)</f>
        <v>0</v>
      </c>
      <c r="G38" s="111"/>
    </row>
    <row r="39" spans="1:10" ht="15" customHeight="1" thickBot="1">
      <c r="A39" s="174"/>
      <c r="B39" s="175" t="s">
        <v>776</v>
      </c>
      <c r="C39" s="15" t="s">
        <v>777</v>
      </c>
      <c r="D39" s="243"/>
      <c r="E39" s="243"/>
      <c r="F39" s="243"/>
      <c r="G39" s="111"/>
    </row>
    <row r="40" spans="1:10" ht="15" customHeight="1" thickBot="1">
      <c r="A40" s="174"/>
      <c r="B40" s="175" t="s">
        <v>778</v>
      </c>
      <c r="C40" s="15" t="s">
        <v>109</v>
      </c>
      <c r="D40" s="243"/>
      <c r="E40" s="243"/>
      <c r="F40" s="243"/>
      <c r="G40" s="111"/>
    </row>
    <row r="41" spans="1:10" ht="18.75" customHeight="1" thickBot="1">
      <c r="A41" s="170" t="s">
        <v>5</v>
      </c>
      <c r="B41" s="443"/>
      <c r="C41" s="211" t="s">
        <v>779</v>
      </c>
      <c r="D41" s="450">
        <f>SUM(D42:D45)</f>
        <v>24500</v>
      </c>
      <c r="E41" s="450">
        <f t="shared" ref="E41:F41" si="7">SUM(E42:E45)</f>
        <v>8018</v>
      </c>
      <c r="F41" s="450">
        <f t="shared" si="7"/>
        <v>8018</v>
      </c>
      <c r="G41" s="111">
        <f t="shared" si="6"/>
        <v>100</v>
      </c>
    </row>
    <row r="42" spans="1:10" s="221" customFormat="1" ht="15" customHeight="1" thickBot="1">
      <c r="A42" s="193"/>
      <c r="B42" s="175" t="s">
        <v>6</v>
      </c>
      <c r="C42" s="27" t="s">
        <v>780</v>
      </c>
      <c r="D42" s="243">
        <f>SUM('6.2.sz.mell.'!H124)</f>
        <v>24500</v>
      </c>
      <c r="E42" s="243">
        <f>'4.1 sz. mell'!E40</f>
        <v>8018</v>
      </c>
      <c r="F42" s="243">
        <f>'4.1 sz. mell'!F40</f>
        <v>8018</v>
      </c>
      <c r="G42" s="111">
        <f t="shared" si="6"/>
        <v>100</v>
      </c>
    </row>
    <row r="43" spans="1:10" ht="15" customHeight="1" thickBot="1">
      <c r="A43" s="174"/>
      <c r="B43" s="175" t="s">
        <v>8</v>
      </c>
      <c r="C43" s="15" t="s">
        <v>134</v>
      </c>
      <c r="D43" s="243"/>
      <c r="E43" s="243"/>
      <c r="F43" s="243"/>
      <c r="G43" s="111"/>
    </row>
    <row r="44" spans="1:10" ht="36" customHeight="1" thickBot="1">
      <c r="A44" s="174"/>
      <c r="B44" s="175" t="s">
        <v>14</v>
      </c>
      <c r="C44" s="15" t="s">
        <v>137</v>
      </c>
      <c r="D44" s="243">
        <f>SUM('4.1 sz. mell'!D42+'4.2. sz. mell'!D42+'4.3 sz. mell'!D42+'4.4.sz. mell.'!D42+'4.5.sz. mell. '!D42+'4.6 sz. mell.'!D43+'4.7.sz. mell.'!D42)</f>
        <v>0</v>
      </c>
      <c r="E44" s="243">
        <f>SUM('4.1 sz. mell'!E42+'4.2. sz. mell'!E42+'4.3 sz. mell'!E42+'4.4.sz. mell.'!E42+'4.5.sz. mell. '!E42+'4.6 sz. mell.'!E43+'4.7.sz. mell.'!E42)</f>
        <v>0</v>
      </c>
      <c r="F44" s="243">
        <f>SUM('4.1 sz. mell'!F42+'4.2. sz. mell'!F42+'4.3 sz. mell'!F42+'4.4.sz. mell.'!F42+'4.5.sz. mell. '!F42+'4.6 sz. mell.'!F43+'4.7.sz. mell.'!F42)</f>
        <v>0</v>
      </c>
      <c r="G44" s="111"/>
    </row>
    <row r="45" spans="1:10" ht="15" customHeight="1" thickBot="1">
      <c r="A45" s="174"/>
      <c r="B45" s="175" t="s">
        <v>18</v>
      </c>
      <c r="C45" s="15" t="s">
        <v>781</v>
      </c>
      <c r="D45" s="243">
        <f>SUM('4.1 sz. mell'!D43+'4.2. sz. mell'!D43+'4.3 sz. mell'!D43+'4.4.sz. mell.'!D43+'4.5.sz. mell. '!D43+'4.6 sz. mell.'!D44+'4.7.sz. mell.'!D43)</f>
        <v>0</v>
      </c>
      <c r="E45" s="243">
        <f>SUM('4.1 sz. mell'!E43+'4.2. sz. mell'!E43+'4.3 sz. mell'!E43+'4.4.sz. mell.'!E43+'4.5.sz. mell. '!E43+'4.6 sz. mell.'!E44+'4.7.sz. mell.'!E43)</f>
        <v>0</v>
      </c>
      <c r="F45" s="243">
        <f>SUM('4.1 sz. mell'!F43+'4.2. sz. mell'!F43+'4.3 sz. mell'!F43+'4.4.sz. mell.'!F43+'4.5.sz. mell. '!F43+'4.6 sz. mell.'!F44+'4.7.sz. mell.'!F43)</f>
        <v>0</v>
      </c>
      <c r="G45" s="111"/>
    </row>
    <row r="46" spans="1:10" ht="15" customHeight="1" thickBot="1">
      <c r="A46" s="197" t="s">
        <v>19</v>
      </c>
      <c r="B46" s="451"/>
      <c r="C46" s="452" t="s">
        <v>782</v>
      </c>
      <c r="D46" s="246">
        <f>SUM('4.1 sz. mell'!D44+'4.2. sz. mell'!D44+'4.3 sz. mell'!D44+'4.4.sz. mell.'!D44+'4.5.sz. mell. '!D44+'4.6 sz. mell.'!D45+'4.7.sz. mell.'!D44)</f>
        <v>0</v>
      </c>
      <c r="E46" s="246">
        <f>SUM('4.1 sz. mell'!E44+'4.2. sz. mell'!E44+'4.3 sz. mell'!E44+'4.4.sz. mell.'!E44+'4.5.sz. mell. '!E44+'4.6 sz. mell.'!E45+'4.7.sz. mell.'!E44)</f>
        <v>1172</v>
      </c>
      <c r="F46" s="246">
        <f>SUM('4.1 sz. mell'!F44+'4.2. sz. mell'!F44+'4.3 sz. mell'!F44+'4.4.sz. mell.'!F44+'4.5.sz. mell. '!F44+'4.6 sz. mell.'!F45+'4.7.sz. mell.'!F44)</f>
        <v>550</v>
      </c>
      <c r="G46" s="111"/>
    </row>
    <row r="47" spans="1:10" s="177" customFormat="1" ht="15" customHeight="1" thickBot="1">
      <c r="A47" s="170"/>
      <c r="B47" s="12"/>
      <c r="C47" s="67" t="s">
        <v>783</v>
      </c>
      <c r="D47" s="209"/>
      <c r="E47" s="209"/>
      <c r="F47" s="209">
        <f>'4.1 sz. mell'!F45</f>
        <v>-10</v>
      </c>
      <c r="G47" s="111"/>
      <c r="I47" s="1281" t="s">
        <v>2052</v>
      </c>
      <c r="J47" s="1281" t="s">
        <v>1811</v>
      </c>
    </row>
    <row r="48" spans="1:10" ht="19.5" customHeight="1" thickBot="1">
      <c r="A48" s="256" t="s">
        <v>149</v>
      </c>
      <c r="B48" s="257"/>
      <c r="C48" s="448" t="s">
        <v>784</v>
      </c>
      <c r="D48" s="453">
        <f>+D33+D41+D46</f>
        <v>603273</v>
      </c>
      <c r="E48" s="453">
        <f t="shared" ref="E48" si="8">+E33+E41+E46</f>
        <v>711646</v>
      </c>
      <c r="F48" s="453">
        <f>+F33+F41+F46+F47</f>
        <v>711009</v>
      </c>
      <c r="G48" s="111">
        <f t="shared" si="6"/>
        <v>99.910489203901946</v>
      </c>
      <c r="I48" s="1279">
        <v>711009</v>
      </c>
      <c r="J48" s="1280">
        <f>SUM(I48-F48)</f>
        <v>0</v>
      </c>
    </row>
    <row r="49" spans="1:7" ht="15" customHeight="1" thickBot="1">
      <c r="A49" s="271"/>
      <c r="B49" s="272"/>
      <c r="C49" s="272"/>
      <c r="D49" s="231"/>
      <c r="E49" s="231"/>
      <c r="F49" s="231"/>
      <c r="G49" s="111"/>
    </row>
    <row r="50" spans="1:7" ht="15" customHeight="1" thickBot="1">
      <c r="A50" s="1943" t="s">
        <v>289</v>
      </c>
      <c r="B50" s="1943"/>
      <c r="C50" s="1943"/>
      <c r="D50" s="454">
        <f>SUM('4.1 sz. mell'!D48+'4.2. sz. mell'!D48+'4.3 sz. mell'!D48+'4.4.sz. mell.'!D48+'4.5.sz. mell. '!D48+'4.6 sz. mell.'!D49+'4.7.sz. mell.'!D48+'4.8.sz. mell.'!D49)</f>
        <v>104</v>
      </c>
      <c r="E50" s="454">
        <f>SUM('4.1 sz. mell'!E48+'4.2. sz. mell'!E48+'4.3 sz. mell'!E48+'4.4.sz. mell.'!E48+'4.5.sz. mell. '!E48+'4.6 sz. mell.'!E49+'4.7.sz. mell.'!E48+'4.8.sz. mell.'!E49)</f>
        <v>107</v>
      </c>
      <c r="F50" s="454">
        <v>104</v>
      </c>
      <c r="G50" s="454">
        <f>SUM('4.1 sz. mell'!G48+'4.2. sz. mell'!G48+'4.3 sz. mell'!G48+'4.4.sz. mell.'!G48+'4.5.sz. mell. '!G48+'4.6 sz. mell.'!G49+'4.7.sz. mell.'!G48+'4.8.sz. mell.'!G49)</f>
        <v>0</v>
      </c>
    </row>
    <row r="51" spans="1:7" ht="15" customHeight="1" thickBot="1">
      <c r="A51" s="1943" t="s">
        <v>290</v>
      </c>
      <c r="B51" s="1943"/>
      <c r="C51" s="1943"/>
      <c r="D51" s="209">
        <f>SUM('4.1 sz. mell'!D49+'4.2. sz. mell'!D49+'4.3 sz. mell'!D49+'4.4.sz. mell.'!D49+'4.5.sz. mell. '!D49+'4.6 sz. mell.'!D50+'4.7.sz. mell.'!D49)</f>
        <v>0</v>
      </c>
      <c r="E51" s="209">
        <f>SUM('4.1 sz. mell'!E49+'4.2. sz. mell'!E49+'4.3 sz. mell'!E49+'4.4.sz. mell.'!E49+'4.5.sz. mell. '!E49+'4.6 sz. mell.'!E50+'4.7.sz. mell.'!E49)</f>
        <v>0</v>
      </c>
      <c r="F51" s="209">
        <f>SUM('4.1 sz. mell'!F49+'4.2. sz. mell'!F49+'4.3 sz. mell'!F49+'4.4.sz. mell.'!F49+'4.5.sz. mell. '!F49+'4.6 sz. mell.'!F50+'4.7.sz. mell.'!F49)</f>
        <v>0</v>
      </c>
      <c r="G51" s="209">
        <f>SUM('4.1 sz. mell'!G49+'4.2. sz. mell'!G49+'4.3 sz. mell'!G49+'4.4.sz. mell.'!G49+'4.5.sz. mell. '!G49+'4.6 sz. mell.'!G50+'4.7.sz. mell.'!G49)</f>
        <v>0</v>
      </c>
    </row>
  </sheetData>
  <sheetProtection selectLockedCells="1" selectUnlockedCells="1"/>
  <mergeCells count="7">
    <mergeCell ref="A51:C51"/>
    <mergeCell ref="D1:G1"/>
    <mergeCell ref="A2:B2"/>
    <mergeCell ref="A3:B3"/>
    <mergeCell ref="A5:B5"/>
    <mergeCell ref="A50:C50"/>
    <mergeCell ref="D4:G4"/>
  </mergeCells>
  <printOptions horizontalCentered="1"/>
  <pageMargins left="0.27559055118110237" right="0.23622047244094491" top="0.31496062992125984" bottom="0.47244094488188981" header="0.19685039370078741" footer="0.23622047244094491"/>
  <pageSetup paperSize="9" scale="70" firstPageNumber="51" orientation="portrait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topLeftCell="A7" zoomScaleSheetLayoutView="100" workbookViewId="0">
      <selection activeCell="K51" sqref="K51"/>
    </sheetView>
  </sheetViews>
  <sheetFormatPr defaultRowHeight="12.75"/>
  <cols>
    <col min="1" max="1" width="9.6640625" style="151" customWidth="1"/>
    <col min="2" max="2" width="7.6640625" style="152" customWidth="1"/>
    <col min="3" max="3" width="62" style="152" customWidth="1"/>
    <col min="4" max="4" width="13.5" style="152" customWidth="1"/>
    <col min="5" max="5" width="16.83203125" style="152" customWidth="1"/>
    <col min="6" max="6" width="16.1640625" style="152" customWidth="1"/>
    <col min="7" max="7" width="9.5" style="152" customWidth="1"/>
    <col min="8" max="8" width="9.33203125" style="152"/>
    <col min="9" max="9" width="9.5" style="152" bestFit="1" customWidth="1"/>
    <col min="10" max="16384" width="9.33203125" style="152"/>
  </cols>
  <sheetData>
    <row r="1" spans="1:7" s="436" customFormat="1" ht="21" customHeight="1">
      <c r="A1" s="433"/>
      <c r="B1" s="434"/>
      <c r="C1" s="455"/>
      <c r="D1" s="1945" t="s">
        <v>785</v>
      </c>
      <c r="E1" s="1945"/>
      <c r="F1" s="1945"/>
      <c r="G1" s="1945"/>
    </row>
    <row r="2" spans="1:7" s="155" customFormat="1" ht="30.75" customHeight="1">
      <c r="A2" s="1901" t="s">
        <v>760</v>
      </c>
      <c r="B2" s="1901"/>
      <c r="C2" s="153" t="s">
        <v>761</v>
      </c>
      <c r="D2" s="456"/>
      <c r="E2" s="456"/>
      <c r="F2" s="456"/>
      <c r="G2" s="456"/>
    </row>
    <row r="3" spans="1:7" s="155" customFormat="1" ht="33" customHeight="1" thickBot="1">
      <c r="A3" s="1899" t="s">
        <v>258</v>
      </c>
      <c r="B3" s="1899"/>
      <c r="C3" s="156" t="s">
        <v>786</v>
      </c>
      <c r="D3" s="91" t="s">
        <v>1267</v>
      </c>
      <c r="E3" s="91"/>
      <c r="F3" s="91"/>
      <c r="G3" s="91"/>
    </row>
    <row r="4" spans="1:7" s="159" customFormat="1" ht="15.95" customHeight="1" thickBot="1">
      <c r="A4" s="457"/>
      <c r="B4" s="457"/>
      <c r="C4" s="457"/>
      <c r="D4" s="1947" t="s">
        <v>194</v>
      </c>
      <c r="E4" s="1947"/>
      <c r="F4" s="1947"/>
      <c r="G4" s="1947"/>
    </row>
    <row r="5" spans="1:7" ht="29.25" customHeight="1" thickBot="1">
      <c r="A5" s="1946" t="s">
        <v>260</v>
      </c>
      <c r="B5" s="1946"/>
      <c r="C5" s="459" t="s">
        <v>261</v>
      </c>
      <c r="D5" s="460" t="s">
        <v>262</v>
      </c>
      <c r="E5" s="460" t="s">
        <v>263</v>
      </c>
      <c r="F5" s="460" t="s">
        <v>264</v>
      </c>
      <c r="G5" s="460" t="s">
        <v>2</v>
      </c>
    </row>
    <row r="6" spans="1:7" s="165" customFormat="1" ht="15" customHeight="1">
      <c r="A6" s="170">
        <v>1</v>
      </c>
      <c r="B6" s="461">
        <v>2</v>
      </c>
      <c r="C6" s="461">
        <v>3</v>
      </c>
      <c r="D6" s="462">
        <v>4</v>
      </c>
      <c r="E6" s="462">
        <v>5</v>
      </c>
      <c r="F6" s="462">
        <v>6</v>
      </c>
      <c r="G6" s="462">
        <v>7</v>
      </c>
    </row>
    <row r="7" spans="1:7" s="165" customFormat="1" ht="15" customHeight="1">
      <c r="A7" s="463"/>
      <c r="B7" s="464"/>
      <c r="C7" s="464" t="s">
        <v>196</v>
      </c>
      <c r="D7" s="465"/>
      <c r="E7" s="465"/>
      <c r="F7" s="465"/>
      <c r="G7" s="465"/>
    </row>
    <row r="8" spans="1:7" s="173" customFormat="1" ht="15" customHeight="1">
      <c r="A8" s="170" t="s">
        <v>4</v>
      </c>
      <c r="B8" s="171"/>
      <c r="C8" s="172" t="s">
        <v>762</v>
      </c>
      <c r="D8" s="111">
        <f>SUM(D9:D16)</f>
        <v>0</v>
      </c>
      <c r="E8" s="111">
        <f t="shared" ref="E8:F8" si="0">SUM(E9:E16)</f>
        <v>8723</v>
      </c>
      <c r="F8" s="111">
        <f t="shared" si="0"/>
        <v>8723</v>
      </c>
      <c r="G8" s="111"/>
    </row>
    <row r="9" spans="1:7" s="173" customFormat="1" ht="15" customHeight="1">
      <c r="A9" s="181"/>
      <c r="B9" s="175" t="s">
        <v>102</v>
      </c>
      <c r="C9" s="19" t="s">
        <v>22</v>
      </c>
      <c r="D9" s="250">
        <v>0</v>
      </c>
      <c r="E9" s="250">
        <v>0</v>
      </c>
      <c r="F9" s="250">
        <v>0</v>
      </c>
      <c r="G9" s="250"/>
    </row>
    <row r="10" spans="1:7" s="173" customFormat="1" ht="15" customHeight="1">
      <c r="A10" s="174"/>
      <c r="B10" s="175" t="s">
        <v>104</v>
      </c>
      <c r="C10" s="15" t="s">
        <v>24</v>
      </c>
      <c r="D10" s="243"/>
      <c r="E10" s="243">
        <v>1802</v>
      </c>
      <c r="F10" s="243">
        <v>1802</v>
      </c>
      <c r="G10" s="243"/>
    </row>
    <row r="11" spans="1:7" s="173" customFormat="1" ht="15" customHeight="1">
      <c r="A11" s="174"/>
      <c r="B11" s="175" t="s">
        <v>106</v>
      </c>
      <c r="C11" s="15" t="s">
        <v>26</v>
      </c>
      <c r="D11" s="243">
        <v>0</v>
      </c>
      <c r="E11" s="243">
        <v>0</v>
      </c>
      <c r="F11" s="243">
        <v>0</v>
      </c>
      <c r="G11" s="243"/>
    </row>
    <row r="12" spans="1:7" s="173" customFormat="1" ht="15" customHeight="1">
      <c r="A12" s="174"/>
      <c r="B12" s="175" t="s">
        <v>108</v>
      </c>
      <c r="C12" s="15" t="s">
        <v>28</v>
      </c>
      <c r="D12" s="243">
        <v>0</v>
      </c>
      <c r="E12" s="243">
        <v>0</v>
      </c>
      <c r="F12" s="243">
        <v>0</v>
      </c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>
        <v>0</v>
      </c>
      <c r="E13" s="243">
        <v>0</v>
      </c>
      <c r="F13" s="243">
        <v>0</v>
      </c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3">
        <v>0</v>
      </c>
      <c r="E14" s="243">
        <v>44</v>
      </c>
      <c r="F14" s="243">
        <v>44</v>
      </c>
      <c r="G14" s="243"/>
    </row>
    <row r="15" spans="1:7" s="177" customFormat="1" ht="15" customHeight="1">
      <c r="A15" s="174"/>
      <c r="B15" s="175" t="s">
        <v>437</v>
      </c>
      <c r="C15" s="15" t="s">
        <v>34</v>
      </c>
      <c r="D15" s="243">
        <v>0</v>
      </c>
      <c r="E15" s="243">
        <v>26</v>
      </c>
      <c r="F15" s="243">
        <v>26</v>
      </c>
      <c r="G15" s="243"/>
    </row>
    <row r="16" spans="1:7" s="177" customFormat="1" ht="15" customHeight="1">
      <c r="A16" s="183"/>
      <c r="B16" s="184" t="s">
        <v>439</v>
      </c>
      <c r="C16" s="22" t="s">
        <v>36</v>
      </c>
      <c r="D16" s="250">
        <v>0</v>
      </c>
      <c r="E16" s="250">
        <v>6851</v>
      </c>
      <c r="F16" s="250">
        <v>6851</v>
      </c>
      <c r="G16" s="250"/>
    </row>
    <row r="17" spans="1:9" s="173" customFormat="1" ht="15" customHeight="1" thickBot="1">
      <c r="A17" s="170" t="s">
        <v>5</v>
      </c>
      <c r="B17" s="171"/>
      <c r="C17" s="211" t="s">
        <v>1635</v>
      </c>
      <c r="D17" s="466">
        <f>SUM(D18:D21)</f>
        <v>14937</v>
      </c>
      <c r="E17" s="466">
        <f t="shared" ref="E17:F17" si="1">SUM(E18:E21)</f>
        <v>25965</v>
      </c>
      <c r="F17" s="466">
        <f t="shared" si="1"/>
        <v>25965</v>
      </c>
      <c r="G17" s="466">
        <f>F17/E17*100</f>
        <v>100</v>
      </c>
    </row>
    <row r="18" spans="1:9" s="177" customFormat="1" ht="15" customHeight="1">
      <c r="A18" s="174"/>
      <c r="B18" s="175" t="s">
        <v>6</v>
      </c>
      <c r="C18" s="27" t="s">
        <v>1636</v>
      </c>
      <c r="D18" s="182">
        <v>14937</v>
      </c>
      <c r="E18" s="182">
        <v>16702</v>
      </c>
      <c r="F18" s="182">
        <v>16702</v>
      </c>
      <c r="G18" s="182">
        <f>F18/E18*100</f>
        <v>100</v>
      </c>
    </row>
    <row r="19" spans="1:9" s="177" customFormat="1" ht="15" customHeight="1">
      <c r="A19" s="174"/>
      <c r="B19" s="175" t="s">
        <v>8</v>
      </c>
      <c r="C19" s="15" t="s">
        <v>1637</v>
      </c>
      <c r="D19" s="243">
        <v>0</v>
      </c>
      <c r="E19" s="243">
        <v>8018</v>
      </c>
      <c r="F19" s="243">
        <v>8018</v>
      </c>
      <c r="G19" s="243"/>
    </row>
    <row r="20" spans="1:9" s="177" customFormat="1" ht="15" customHeight="1">
      <c r="A20" s="174"/>
      <c r="B20" s="175" t="s">
        <v>10</v>
      </c>
      <c r="C20" s="15" t="s">
        <v>766</v>
      </c>
      <c r="D20" s="243">
        <v>0</v>
      </c>
      <c r="E20" s="243">
        <v>0</v>
      </c>
      <c r="F20" s="243">
        <v>0</v>
      </c>
      <c r="G20" s="243"/>
    </row>
    <row r="21" spans="1:9" s="177" customFormat="1" ht="15" customHeight="1">
      <c r="A21" s="174"/>
      <c r="B21" s="175" t="s">
        <v>12</v>
      </c>
      <c r="C21" s="15" t="s">
        <v>767</v>
      </c>
      <c r="D21" s="246">
        <v>0</v>
      </c>
      <c r="E21" s="246">
        <v>1245</v>
      </c>
      <c r="F21" s="246">
        <v>1245</v>
      </c>
      <c r="G21" s="246"/>
    </row>
    <row r="22" spans="1:9" s="177" customFormat="1" ht="15" customHeight="1">
      <c r="A22" s="170" t="s">
        <v>19</v>
      </c>
      <c r="B22" s="12"/>
      <c r="C22" s="12" t="s">
        <v>768</v>
      </c>
      <c r="D22" s="209">
        <v>0</v>
      </c>
      <c r="E22" s="209">
        <v>6</v>
      </c>
      <c r="F22" s="209">
        <v>6</v>
      </c>
      <c r="G22" s="209"/>
    </row>
    <row r="23" spans="1:9" s="177" customFormat="1" ht="15" customHeight="1">
      <c r="A23" s="170" t="s">
        <v>149</v>
      </c>
      <c r="B23" s="12"/>
      <c r="C23" s="12" t="s">
        <v>769</v>
      </c>
      <c r="D23" s="209"/>
      <c r="E23" s="209">
        <v>295</v>
      </c>
      <c r="F23" s="209">
        <v>295</v>
      </c>
      <c r="G23" s="209"/>
    </row>
    <row r="24" spans="1:9" s="173" customFormat="1" ht="15" customHeight="1">
      <c r="A24" s="170" t="s">
        <v>38</v>
      </c>
      <c r="B24" s="171"/>
      <c r="C24" s="12" t="s">
        <v>770</v>
      </c>
      <c r="D24" s="209"/>
      <c r="E24" s="209">
        <v>9</v>
      </c>
      <c r="F24" s="209">
        <v>9</v>
      </c>
      <c r="G24" s="209"/>
    </row>
    <row r="25" spans="1:9" s="173" customFormat="1" ht="32.25" customHeight="1">
      <c r="A25" s="170" t="s">
        <v>48</v>
      </c>
      <c r="B25" s="198"/>
      <c r="C25" s="12" t="s">
        <v>771</v>
      </c>
      <c r="D25" s="242">
        <f>+D26+D27</f>
        <v>0</v>
      </c>
      <c r="E25" s="242">
        <f t="shared" ref="E25:F25" si="2">+E26+E27</f>
        <v>0</v>
      </c>
      <c r="F25" s="242">
        <f t="shared" si="2"/>
        <v>0</v>
      </c>
      <c r="G25" s="242"/>
    </row>
    <row r="26" spans="1:9" s="173" customFormat="1" ht="15" customHeight="1">
      <c r="A26" s="181"/>
      <c r="B26" s="188" t="s">
        <v>49</v>
      </c>
      <c r="C26" s="19" t="s">
        <v>772</v>
      </c>
      <c r="D26" s="243"/>
      <c r="E26" s="243"/>
      <c r="F26" s="243"/>
      <c r="G26" s="243"/>
    </row>
    <row r="27" spans="1:9" s="173" customFormat="1" ht="15" customHeight="1">
      <c r="A27" s="191"/>
      <c r="B27" s="192" t="s">
        <v>62</v>
      </c>
      <c r="C27" s="24" t="s">
        <v>773</v>
      </c>
      <c r="D27" s="243"/>
      <c r="E27" s="243"/>
      <c r="F27" s="243"/>
      <c r="G27" s="243"/>
    </row>
    <row r="28" spans="1:9" s="177" customFormat="1" ht="15" customHeight="1">
      <c r="A28" s="201" t="s">
        <v>178</v>
      </c>
      <c r="B28" s="202"/>
      <c r="C28" s="12" t="s">
        <v>274</v>
      </c>
      <c r="D28" s="243">
        <v>188571</v>
      </c>
      <c r="E28" s="243">
        <v>218665</v>
      </c>
      <c r="F28" s="243">
        <v>218670</v>
      </c>
      <c r="G28" s="243">
        <f>F28/E28*100</f>
        <v>100.00228660279421</v>
      </c>
      <c r="I28" s="190">
        <f>SUM(D46-D30)</f>
        <v>0</v>
      </c>
    </row>
    <row r="29" spans="1:9" s="177" customFormat="1" ht="15" customHeight="1">
      <c r="A29" s="201"/>
      <c r="B29" s="202"/>
      <c r="C29" s="12" t="s">
        <v>774</v>
      </c>
      <c r="D29" s="209"/>
      <c r="E29" s="209"/>
      <c r="F29" s="209">
        <v>-69</v>
      </c>
      <c r="G29" s="209"/>
    </row>
    <row r="30" spans="1:9" s="177" customFormat="1" ht="21" customHeight="1">
      <c r="A30" s="256" t="s">
        <v>74</v>
      </c>
      <c r="B30" s="257"/>
      <c r="C30" s="467" t="s">
        <v>775</v>
      </c>
      <c r="D30" s="258">
        <f>SUM(D8,D17,D22,D23,D24,D25,D28)</f>
        <v>203508</v>
      </c>
      <c r="E30" s="258">
        <f t="shared" ref="E30" si="3">SUM(E8,E17,E22,E23,E24,E25,E28)</f>
        <v>253663</v>
      </c>
      <c r="F30" s="258">
        <f>SUM(F8,F17,F22,F23,F24,F25,F28,F29)</f>
        <v>253599</v>
      </c>
      <c r="G30" s="258">
        <f>F30/E30*100</f>
        <v>99.97476967472592</v>
      </c>
    </row>
    <row r="31" spans="1:9" s="177" customFormat="1" ht="15" customHeight="1">
      <c r="A31" s="449"/>
      <c r="B31" s="449"/>
      <c r="C31" s="468"/>
      <c r="D31" s="261"/>
      <c r="E31" s="261"/>
      <c r="F31" s="261"/>
      <c r="G31" s="261"/>
    </row>
    <row r="32" spans="1:9" s="165" customFormat="1" ht="15" customHeight="1">
      <c r="A32" s="438"/>
      <c r="B32" s="439"/>
      <c r="C32" s="439" t="s">
        <v>197</v>
      </c>
      <c r="D32" s="440"/>
      <c r="E32" s="440"/>
      <c r="F32" s="440"/>
      <c r="G32" s="440"/>
    </row>
    <row r="33" spans="1:7" s="221" customFormat="1" ht="15" customHeight="1">
      <c r="A33" s="170" t="s">
        <v>4</v>
      </c>
      <c r="B33" s="12"/>
      <c r="C33" s="67" t="s">
        <v>101</v>
      </c>
      <c r="D33" s="242">
        <f>SUM(D34:D38)</f>
        <v>203508</v>
      </c>
      <c r="E33" s="242">
        <f t="shared" ref="E33:F33" si="4">SUM(E34:E38)</f>
        <v>244473</v>
      </c>
      <c r="F33" s="242">
        <f t="shared" si="4"/>
        <v>244473</v>
      </c>
      <c r="G33" s="242">
        <f>F33/E33*100</f>
        <v>100</v>
      </c>
    </row>
    <row r="34" spans="1:7" ht="15" customHeight="1">
      <c r="A34" s="193"/>
      <c r="B34" s="220" t="s">
        <v>102</v>
      </c>
      <c r="C34" s="27" t="s">
        <v>103</v>
      </c>
      <c r="D34" s="250">
        <v>121542</v>
      </c>
      <c r="E34" s="250">
        <v>155524</v>
      </c>
      <c r="F34" s="250">
        <v>155524</v>
      </c>
      <c r="G34" s="250">
        <f>F34/E34*100</f>
        <v>100</v>
      </c>
    </row>
    <row r="35" spans="1:7" ht="15" customHeight="1">
      <c r="A35" s="174"/>
      <c r="B35" s="189" t="s">
        <v>104</v>
      </c>
      <c r="C35" s="15" t="s">
        <v>105</v>
      </c>
      <c r="D35" s="243">
        <v>31363</v>
      </c>
      <c r="E35" s="243">
        <v>39535</v>
      </c>
      <c r="F35" s="243">
        <v>39535</v>
      </c>
      <c r="G35" s="243">
        <f>F35/E35*100</f>
        <v>100</v>
      </c>
    </row>
    <row r="36" spans="1:7" ht="15" customHeight="1">
      <c r="A36" s="174"/>
      <c r="B36" s="189" t="s">
        <v>106</v>
      </c>
      <c r="C36" s="15" t="s">
        <v>107</v>
      </c>
      <c r="D36" s="243">
        <v>50603</v>
      </c>
      <c r="E36" s="243">
        <v>49414</v>
      </c>
      <c r="F36" s="243">
        <v>49414</v>
      </c>
      <c r="G36" s="243">
        <f>F36/E36*100</f>
        <v>100</v>
      </c>
    </row>
    <row r="37" spans="1:7" ht="15" customHeight="1">
      <c r="A37" s="174"/>
      <c r="B37" s="189" t="s">
        <v>108</v>
      </c>
      <c r="C37" s="15" t="s">
        <v>109</v>
      </c>
      <c r="D37" s="243"/>
      <c r="E37" s="243"/>
      <c r="F37" s="243"/>
      <c r="G37" s="243"/>
    </row>
    <row r="38" spans="1:7" ht="15" customHeight="1">
      <c r="A38" s="174"/>
      <c r="B38" s="189" t="s">
        <v>110</v>
      </c>
      <c r="C38" s="15" t="s">
        <v>111</v>
      </c>
      <c r="D38" s="243"/>
      <c r="E38" s="243"/>
      <c r="F38" s="243"/>
      <c r="G38" s="243" t="e">
        <f>F38/E38*100</f>
        <v>#DIV/0!</v>
      </c>
    </row>
    <row r="39" spans="1:7" ht="15" customHeight="1">
      <c r="A39" s="170" t="s">
        <v>5</v>
      </c>
      <c r="B39" s="12"/>
      <c r="C39" s="67" t="s">
        <v>787</v>
      </c>
      <c r="D39" s="242">
        <f>SUM(D40:D43)</f>
        <v>0</v>
      </c>
      <c r="E39" s="242">
        <f t="shared" ref="E39:F39" si="5">SUM(E40:E43)</f>
        <v>8018</v>
      </c>
      <c r="F39" s="242">
        <f t="shared" si="5"/>
        <v>8018</v>
      </c>
      <c r="G39" s="242">
        <f>F39/E39*100</f>
        <v>100</v>
      </c>
    </row>
    <row r="40" spans="1:7" s="221" customFormat="1" ht="15" customHeight="1">
      <c r="A40" s="193"/>
      <c r="B40" s="220" t="s">
        <v>6</v>
      </c>
      <c r="C40" s="27" t="s">
        <v>780</v>
      </c>
      <c r="D40" s="250"/>
      <c r="E40" s="250">
        <v>8018</v>
      </c>
      <c r="F40" s="250">
        <v>8018</v>
      </c>
      <c r="G40" s="250">
        <f>F40/E40*100</f>
        <v>100</v>
      </c>
    </row>
    <row r="41" spans="1:7" ht="15" customHeight="1">
      <c r="A41" s="174"/>
      <c r="B41" s="189" t="s">
        <v>8</v>
      </c>
      <c r="C41" s="15" t="s">
        <v>134</v>
      </c>
      <c r="D41" s="243">
        <v>0</v>
      </c>
      <c r="E41" s="243">
        <v>0</v>
      </c>
      <c r="F41" s="243">
        <v>0</v>
      </c>
      <c r="G41" s="243"/>
    </row>
    <row r="42" spans="1:7" ht="29.25" customHeight="1">
      <c r="A42" s="174"/>
      <c r="B42" s="189" t="s">
        <v>14</v>
      </c>
      <c r="C42" s="15" t="s">
        <v>137</v>
      </c>
      <c r="D42" s="243">
        <v>0</v>
      </c>
      <c r="E42" s="243">
        <v>0</v>
      </c>
      <c r="F42" s="243">
        <v>0</v>
      </c>
      <c r="G42" s="243"/>
    </row>
    <row r="43" spans="1:7" ht="15" customHeight="1">
      <c r="A43" s="174"/>
      <c r="B43" s="189" t="s">
        <v>18</v>
      </c>
      <c r="C43" s="15" t="s">
        <v>781</v>
      </c>
      <c r="D43" s="243">
        <v>0</v>
      </c>
      <c r="E43" s="243">
        <v>0</v>
      </c>
      <c r="F43" s="243">
        <v>0</v>
      </c>
      <c r="G43" s="243"/>
    </row>
    <row r="44" spans="1:7" ht="15" customHeight="1">
      <c r="A44" s="170" t="s">
        <v>19</v>
      </c>
      <c r="B44" s="12"/>
      <c r="C44" s="67" t="s">
        <v>782</v>
      </c>
      <c r="D44" s="209">
        <v>0</v>
      </c>
      <c r="E44" s="209">
        <v>1172</v>
      </c>
      <c r="F44" s="209">
        <v>550</v>
      </c>
      <c r="G44" s="209"/>
    </row>
    <row r="45" spans="1:7" s="177" customFormat="1" ht="15" customHeight="1">
      <c r="A45" s="170"/>
      <c r="B45" s="12"/>
      <c r="C45" s="67" t="s">
        <v>783</v>
      </c>
      <c r="D45" s="209"/>
      <c r="E45" s="209"/>
      <c r="F45" s="209">
        <v>-10</v>
      </c>
      <c r="G45" s="209"/>
    </row>
    <row r="46" spans="1:7" ht="15" customHeight="1">
      <c r="A46" s="256" t="s">
        <v>149</v>
      </c>
      <c r="B46" s="257"/>
      <c r="C46" s="467" t="s">
        <v>784</v>
      </c>
      <c r="D46" s="258">
        <f>+D33+D39+D44</f>
        <v>203508</v>
      </c>
      <c r="E46" s="258">
        <f t="shared" ref="E46" si="6">+E33+E39+E44</f>
        <v>253663</v>
      </c>
      <c r="F46" s="258">
        <f>+F33+F39+F44+F45</f>
        <v>253031</v>
      </c>
      <c r="G46" s="258">
        <f>F46/E46*100</f>
        <v>99.750850537918424</v>
      </c>
    </row>
    <row r="47" spans="1:7" ht="15" customHeight="1">
      <c r="A47" s="230"/>
      <c r="B47" s="231"/>
      <c r="C47" s="231"/>
      <c r="D47" s="231"/>
      <c r="E47" s="231"/>
      <c r="F47" s="231"/>
      <c r="G47" s="231"/>
    </row>
    <row r="48" spans="1:7" ht="15" customHeight="1">
      <c r="A48" s="232" t="s">
        <v>289</v>
      </c>
      <c r="B48" s="233"/>
      <c r="C48" s="234"/>
      <c r="D48" s="235">
        <v>31.5</v>
      </c>
      <c r="E48" s="235">
        <v>32.5</v>
      </c>
      <c r="F48" s="235">
        <v>31.5</v>
      </c>
      <c r="G48" s="235"/>
    </row>
    <row r="49" spans="1:7" ht="15" customHeight="1">
      <c r="A49" s="232" t="s">
        <v>290</v>
      </c>
      <c r="B49" s="233"/>
      <c r="C49" s="234"/>
      <c r="D49" s="469"/>
      <c r="E49" s="469"/>
      <c r="F49" s="469"/>
      <c r="G49" s="469"/>
    </row>
  </sheetData>
  <sheetProtection selectLockedCells="1" selectUnlockedCells="1"/>
  <mergeCells count="5">
    <mergeCell ref="D1:G1"/>
    <mergeCell ref="A2:B2"/>
    <mergeCell ref="A3:B3"/>
    <mergeCell ref="A5:B5"/>
    <mergeCell ref="D4:G4"/>
  </mergeCells>
  <printOptions horizontalCentered="1"/>
  <pageMargins left="0.27559055118110237" right="0.43307086614173229" top="0.27559055118110237" bottom="0.39370078740157483" header="0.15748031496062992" footer="0.15748031496062992"/>
  <pageSetup paperSize="9" scale="77" firstPageNumber="52" orientation="portrait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topLeftCell="A13" zoomScaleNormal="130" workbookViewId="0">
      <selection activeCell="J39" sqref="J39"/>
    </sheetView>
  </sheetViews>
  <sheetFormatPr defaultRowHeight="12.75"/>
  <cols>
    <col min="1" max="1" width="9.6640625" style="151" customWidth="1"/>
    <col min="2" max="2" width="9.6640625" style="152" customWidth="1"/>
    <col min="3" max="3" width="70.33203125" style="152" customWidth="1"/>
    <col min="4" max="6" width="14.1640625" style="152" customWidth="1"/>
    <col min="7" max="7" width="9.83203125" style="152" customWidth="1"/>
    <col min="8" max="8" width="9.33203125" style="152" customWidth="1"/>
    <col min="9" max="16384" width="9.33203125" style="152"/>
  </cols>
  <sheetData>
    <row r="1" spans="1:7" s="436" customFormat="1" ht="21" customHeight="1">
      <c r="A1" s="433"/>
      <c r="B1" s="434"/>
      <c r="C1" s="455"/>
      <c r="D1" s="1945" t="s">
        <v>788</v>
      </c>
      <c r="E1" s="1945"/>
      <c r="F1" s="1945"/>
      <c r="G1" s="1945"/>
    </row>
    <row r="2" spans="1:7" s="155" customFormat="1" ht="31.5" customHeight="1">
      <c r="A2" s="1901" t="s">
        <v>760</v>
      </c>
      <c r="B2" s="1901"/>
      <c r="C2" s="153" t="s">
        <v>761</v>
      </c>
      <c r="D2" s="456"/>
      <c r="E2" s="456"/>
      <c r="F2" s="456"/>
      <c r="G2" s="456"/>
    </row>
    <row r="3" spans="1:7" s="155" customFormat="1" ht="30" customHeight="1" thickBot="1">
      <c r="A3" s="1899" t="s">
        <v>258</v>
      </c>
      <c r="B3" s="1899"/>
      <c r="C3" s="156" t="s">
        <v>789</v>
      </c>
      <c r="D3" s="437"/>
      <c r="E3" s="437"/>
      <c r="F3" s="437"/>
      <c r="G3" s="437"/>
    </row>
    <row r="4" spans="1:7" s="159" customFormat="1" ht="15.95" customHeight="1" thickBot="1">
      <c r="A4" s="157"/>
      <c r="B4" s="157"/>
      <c r="C4" s="157"/>
      <c r="D4" s="1908" t="s">
        <v>194</v>
      </c>
      <c r="E4" s="1908"/>
      <c r="F4" s="1908"/>
      <c r="G4" s="1908"/>
    </row>
    <row r="5" spans="1:7" ht="38.25" customHeight="1" thickBo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7" s="165" customFormat="1" ht="15" customHeight="1">
      <c r="A6" s="160">
        <v>1</v>
      </c>
      <c r="B6" s="163">
        <v>2</v>
      </c>
      <c r="C6" s="163">
        <v>3</v>
      </c>
      <c r="D6" s="164">
        <v>4</v>
      </c>
      <c r="E6" s="164">
        <v>5</v>
      </c>
      <c r="F6" s="164">
        <v>6</v>
      </c>
      <c r="G6" s="164">
        <v>7</v>
      </c>
    </row>
    <row r="7" spans="1:7" s="165" customFormat="1" ht="15" customHeight="1">
      <c r="A7" s="463"/>
      <c r="B7" s="464"/>
      <c r="C7" s="464" t="s">
        <v>196</v>
      </c>
      <c r="D7" s="465"/>
      <c r="E7" s="465"/>
      <c r="F7" s="465"/>
      <c r="G7" s="465"/>
    </row>
    <row r="8" spans="1:7" s="173" customFormat="1" ht="15" customHeight="1">
      <c r="A8" s="170" t="s">
        <v>4</v>
      </c>
      <c r="B8" s="171"/>
      <c r="C8" s="172" t="s">
        <v>762</v>
      </c>
      <c r="D8" s="470">
        <f>SUM(D9:D16)</f>
        <v>0</v>
      </c>
      <c r="E8" s="470">
        <f t="shared" ref="E8:F8" si="0">SUM(E9:E16)</f>
        <v>0</v>
      </c>
      <c r="F8" s="470">
        <f t="shared" si="0"/>
        <v>0</v>
      </c>
      <c r="G8" s="470"/>
    </row>
    <row r="9" spans="1:7" s="173" customFormat="1" ht="15" customHeight="1">
      <c r="A9" s="181"/>
      <c r="B9" s="175" t="s">
        <v>102</v>
      </c>
      <c r="C9" s="19" t="s">
        <v>22</v>
      </c>
      <c r="D9" s="471"/>
      <c r="E9" s="471"/>
      <c r="F9" s="471"/>
      <c r="G9" s="471"/>
    </row>
    <row r="10" spans="1:7" s="173" customFormat="1" ht="15" customHeight="1">
      <c r="A10" s="174"/>
      <c r="B10" s="175" t="s">
        <v>104</v>
      </c>
      <c r="C10" s="15" t="s">
        <v>24</v>
      </c>
      <c r="D10" s="472"/>
      <c r="E10" s="472"/>
      <c r="F10" s="472"/>
      <c r="G10" s="472"/>
    </row>
    <row r="11" spans="1:7" s="173" customFormat="1" ht="15" customHeight="1">
      <c r="A11" s="174"/>
      <c r="B11" s="175" t="s">
        <v>106</v>
      </c>
      <c r="C11" s="15" t="s">
        <v>26</v>
      </c>
      <c r="D11" s="472"/>
      <c r="E11" s="472"/>
      <c r="F11" s="472"/>
      <c r="G11" s="472"/>
    </row>
    <row r="12" spans="1:7" s="173" customFormat="1" ht="15" customHeight="1">
      <c r="A12" s="174"/>
      <c r="B12" s="175" t="s">
        <v>108</v>
      </c>
      <c r="C12" s="15" t="s">
        <v>28</v>
      </c>
      <c r="D12" s="472"/>
      <c r="E12" s="472"/>
      <c r="F12" s="472"/>
      <c r="G12" s="472"/>
    </row>
    <row r="13" spans="1:7" s="173" customFormat="1" ht="15" customHeight="1">
      <c r="A13" s="174"/>
      <c r="B13" s="175" t="s">
        <v>432</v>
      </c>
      <c r="C13" s="22" t="s">
        <v>30</v>
      </c>
      <c r="D13" s="472"/>
      <c r="E13" s="472"/>
      <c r="F13" s="472"/>
      <c r="G13" s="472"/>
    </row>
    <row r="14" spans="1:7" s="173" customFormat="1" ht="15" customHeight="1">
      <c r="A14" s="178"/>
      <c r="B14" s="175" t="s">
        <v>434</v>
      </c>
      <c r="C14" s="15" t="s">
        <v>32</v>
      </c>
      <c r="D14" s="473"/>
      <c r="E14" s="473"/>
      <c r="F14" s="473"/>
      <c r="G14" s="473"/>
    </row>
    <row r="15" spans="1:7" s="177" customFormat="1" ht="15" customHeight="1">
      <c r="A15" s="174"/>
      <c r="B15" s="175" t="s">
        <v>437</v>
      </c>
      <c r="C15" s="15" t="s">
        <v>34</v>
      </c>
      <c r="D15" s="472"/>
      <c r="E15" s="472"/>
      <c r="F15" s="472"/>
      <c r="G15" s="472"/>
    </row>
    <row r="16" spans="1:7" s="177" customFormat="1" ht="15" customHeight="1">
      <c r="A16" s="183"/>
      <c r="B16" s="184" t="s">
        <v>439</v>
      </c>
      <c r="C16" s="22" t="s">
        <v>36</v>
      </c>
      <c r="D16" s="474"/>
      <c r="E16" s="474"/>
      <c r="F16" s="474"/>
      <c r="G16" s="474"/>
    </row>
    <row r="17" spans="1:9" s="173" customFormat="1" ht="15" customHeight="1">
      <c r="A17" s="170" t="s">
        <v>5</v>
      </c>
      <c r="B17" s="171"/>
      <c r="C17" s="211" t="s">
        <v>1635</v>
      </c>
      <c r="D17" s="470">
        <f>SUM(D18:D21)</f>
        <v>20643</v>
      </c>
      <c r="E17" s="470">
        <f t="shared" ref="E17:F17" si="1">SUM(E18:E21)</f>
        <v>70386</v>
      </c>
      <c r="F17" s="470">
        <f t="shared" si="1"/>
        <v>70386</v>
      </c>
      <c r="G17" s="470">
        <f>F17/E17*100</f>
        <v>100</v>
      </c>
    </row>
    <row r="18" spans="1:9" s="177" customFormat="1" ht="15" customHeight="1">
      <c r="A18" s="174"/>
      <c r="B18" s="175" t="s">
        <v>6</v>
      </c>
      <c r="C18" s="27" t="s">
        <v>1636</v>
      </c>
      <c r="D18" s="472">
        <v>20643</v>
      </c>
      <c r="E18" s="472">
        <v>70386</v>
      </c>
      <c r="F18" s="472">
        <v>70386</v>
      </c>
      <c r="G18" s="472">
        <f>F18/E18*100</f>
        <v>100</v>
      </c>
    </row>
    <row r="19" spans="1:9" s="177" customFormat="1" ht="15" customHeight="1">
      <c r="A19" s="174"/>
      <c r="B19" s="175" t="s">
        <v>8</v>
      </c>
      <c r="C19" s="15" t="s">
        <v>1637</v>
      </c>
      <c r="D19" s="472"/>
      <c r="E19" s="472"/>
      <c r="F19" s="472"/>
      <c r="G19" s="472"/>
    </row>
    <row r="20" spans="1:9" s="177" customFormat="1" ht="15" customHeight="1">
      <c r="A20" s="174"/>
      <c r="B20" s="175" t="s">
        <v>10</v>
      </c>
      <c r="C20" s="15" t="s">
        <v>766</v>
      </c>
      <c r="D20" s="472"/>
      <c r="E20" s="472"/>
      <c r="F20" s="472"/>
      <c r="G20" s="472"/>
    </row>
    <row r="21" spans="1:9" s="177" customFormat="1" ht="15" customHeight="1">
      <c r="A21" s="174"/>
      <c r="B21" s="175" t="s">
        <v>12</v>
      </c>
      <c r="C21" s="15" t="s">
        <v>767</v>
      </c>
      <c r="D21" s="472"/>
      <c r="E21" s="472"/>
      <c r="F21" s="472"/>
      <c r="G21" s="472"/>
    </row>
    <row r="22" spans="1:9" s="177" customFormat="1" ht="15" customHeight="1">
      <c r="A22" s="170" t="s">
        <v>19</v>
      </c>
      <c r="B22" s="12"/>
      <c r="C22" s="12" t="s">
        <v>768</v>
      </c>
      <c r="D22" s="475"/>
      <c r="E22" s="475"/>
      <c r="F22" s="475"/>
      <c r="G22" s="475"/>
    </row>
    <row r="23" spans="1:9" s="177" customFormat="1" ht="15" customHeight="1">
      <c r="A23" s="170" t="s">
        <v>149</v>
      </c>
      <c r="B23" s="12"/>
      <c r="C23" s="12" t="s">
        <v>769</v>
      </c>
      <c r="D23" s="472"/>
      <c r="E23" s="472"/>
      <c r="F23" s="472"/>
      <c r="G23" s="472"/>
    </row>
    <row r="24" spans="1:9" s="173" customFormat="1" ht="15" customHeight="1">
      <c r="A24" s="170" t="s">
        <v>38</v>
      </c>
      <c r="B24" s="171"/>
      <c r="C24" s="12" t="s">
        <v>770</v>
      </c>
      <c r="D24" s="472"/>
      <c r="E24" s="472"/>
      <c r="F24" s="472"/>
      <c r="G24" s="472"/>
    </row>
    <row r="25" spans="1:9" s="173" customFormat="1" ht="15" customHeight="1">
      <c r="A25" s="170" t="s">
        <v>48</v>
      </c>
      <c r="B25" s="198"/>
      <c r="C25" s="12" t="s">
        <v>771</v>
      </c>
      <c r="D25" s="476">
        <f>+D26+D27</f>
        <v>0</v>
      </c>
      <c r="E25" s="476">
        <f t="shared" ref="E25:F25" si="2">+E26+E27</f>
        <v>0</v>
      </c>
      <c r="F25" s="476">
        <f t="shared" si="2"/>
        <v>0</v>
      </c>
      <c r="G25" s="476"/>
    </row>
    <row r="26" spans="1:9" s="173" customFormat="1" ht="15" customHeight="1">
      <c r="A26" s="181"/>
      <c r="B26" s="188" t="s">
        <v>49</v>
      </c>
      <c r="C26" s="19" t="s">
        <v>772</v>
      </c>
      <c r="D26" s="472"/>
      <c r="E26" s="472"/>
      <c r="F26" s="472"/>
      <c r="G26" s="472"/>
    </row>
    <row r="27" spans="1:9" s="173" customFormat="1" ht="15" customHeight="1">
      <c r="A27" s="191"/>
      <c r="B27" s="192" t="s">
        <v>62</v>
      </c>
      <c r="C27" s="24" t="s">
        <v>773</v>
      </c>
      <c r="D27" s="472"/>
      <c r="E27" s="472"/>
      <c r="F27" s="472"/>
      <c r="G27" s="472"/>
    </row>
    <row r="28" spans="1:9" s="177" customFormat="1" ht="15" customHeight="1">
      <c r="A28" s="201" t="s">
        <v>178</v>
      </c>
      <c r="B28" s="202"/>
      <c r="C28" s="12" t="s">
        <v>274</v>
      </c>
      <c r="D28" s="472">
        <v>23486</v>
      </c>
      <c r="E28" s="472">
        <v>23441</v>
      </c>
      <c r="F28" s="472">
        <v>23436</v>
      </c>
      <c r="G28" s="472">
        <f>F28/E28*100</f>
        <v>99.978669851968775</v>
      </c>
      <c r="I28" s="190">
        <f>SUM(D46-D30)</f>
        <v>0</v>
      </c>
    </row>
    <row r="29" spans="1:9" s="177" customFormat="1" ht="15" customHeight="1">
      <c r="A29" s="201"/>
      <c r="B29" s="202"/>
      <c r="C29" s="12" t="s">
        <v>774</v>
      </c>
      <c r="D29" s="209"/>
      <c r="E29" s="209"/>
      <c r="F29" s="209"/>
      <c r="G29" s="209"/>
    </row>
    <row r="30" spans="1:9" s="177" customFormat="1" ht="15.75" customHeight="1">
      <c r="A30" s="256" t="s">
        <v>74</v>
      </c>
      <c r="B30" s="257"/>
      <c r="C30" s="467" t="s">
        <v>775</v>
      </c>
      <c r="D30" s="258">
        <f>SUM(D8,D17,D22,D23,D24,D25,D28)</f>
        <v>44129</v>
      </c>
      <c r="E30" s="258">
        <f t="shared" ref="E30:F30" si="3">SUM(E8,E17,E22,E23,E24,E25,E28)</f>
        <v>93827</v>
      </c>
      <c r="F30" s="258">
        <f t="shared" si="3"/>
        <v>93822</v>
      </c>
      <c r="G30" s="258">
        <f>F30/E30*100</f>
        <v>99.994671043516263</v>
      </c>
    </row>
    <row r="31" spans="1:9" s="177" customFormat="1" ht="15" customHeight="1">
      <c r="A31" s="477"/>
      <c r="B31" s="477"/>
      <c r="C31" s="478"/>
      <c r="D31" s="479"/>
      <c r="E31" s="479"/>
      <c r="F31" s="479"/>
      <c r="G31" s="479"/>
    </row>
    <row r="32" spans="1:9" s="165" customFormat="1" ht="15" customHeight="1">
      <c r="A32" s="463"/>
      <c r="B32" s="464"/>
      <c r="C32" s="464" t="s">
        <v>197</v>
      </c>
      <c r="D32" s="465"/>
      <c r="E32" s="465"/>
      <c r="F32" s="465"/>
      <c r="G32" s="465"/>
    </row>
    <row r="33" spans="1:7" s="221" customFormat="1" ht="15" customHeight="1">
      <c r="A33" s="160" t="s">
        <v>4</v>
      </c>
      <c r="B33" s="480"/>
      <c r="C33" s="481" t="s">
        <v>790</v>
      </c>
      <c r="D33" s="470">
        <f>SUM(D34:D38)</f>
        <v>44129</v>
      </c>
      <c r="E33" s="470">
        <f t="shared" ref="E33:F33" si="4">SUM(E34:E38)</f>
        <v>93827</v>
      </c>
      <c r="F33" s="470">
        <f t="shared" si="4"/>
        <v>93822</v>
      </c>
      <c r="G33" s="470">
        <f t="shared" ref="G33:G38" si="5">F33/E33*100</f>
        <v>99.994671043516263</v>
      </c>
    </row>
    <row r="34" spans="1:7" ht="15" customHeight="1">
      <c r="A34" s="482"/>
      <c r="B34" s="483" t="s">
        <v>102</v>
      </c>
      <c r="C34" s="484" t="s">
        <v>103</v>
      </c>
      <c r="D34" s="485">
        <v>13430</v>
      </c>
      <c r="E34" s="485">
        <v>13430</v>
      </c>
      <c r="F34" s="485">
        <v>13430</v>
      </c>
      <c r="G34" s="485">
        <f t="shared" si="5"/>
        <v>100</v>
      </c>
    </row>
    <row r="35" spans="1:7" ht="15" customHeight="1">
      <c r="A35" s="486"/>
      <c r="B35" s="487" t="s">
        <v>104</v>
      </c>
      <c r="C35" s="488" t="s">
        <v>105</v>
      </c>
      <c r="D35" s="472">
        <v>3570</v>
      </c>
      <c r="E35" s="472">
        <v>3525</v>
      </c>
      <c r="F35" s="472">
        <v>3525</v>
      </c>
      <c r="G35" s="472">
        <f t="shared" si="5"/>
        <v>100</v>
      </c>
    </row>
    <row r="36" spans="1:7" ht="15" customHeight="1">
      <c r="A36" s="486"/>
      <c r="B36" s="487" t="s">
        <v>106</v>
      </c>
      <c r="C36" s="488" t="s">
        <v>107</v>
      </c>
      <c r="D36" s="472">
        <v>4129</v>
      </c>
      <c r="E36" s="472">
        <v>4129</v>
      </c>
      <c r="F36" s="472">
        <v>4129</v>
      </c>
      <c r="G36" s="472">
        <f t="shared" si="5"/>
        <v>100</v>
      </c>
    </row>
    <row r="37" spans="1:7" ht="15" customHeight="1">
      <c r="A37" s="486"/>
      <c r="B37" s="487" t="s">
        <v>108</v>
      </c>
      <c r="C37" s="15" t="s">
        <v>275</v>
      </c>
      <c r="D37" s="472">
        <v>23000</v>
      </c>
      <c r="E37" s="472">
        <v>72743</v>
      </c>
      <c r="F37" s="472">
        <v>72738</v>
      </c>
      <c r="G37" s="472">
        <f t="shared" si="5"/>
        <v>99.993126486397315</v>
      </c>
    </row>
    <row r="38" spans="1:7" ht="15" customHeight="1">
      <c r="A38" s="486"/>
      <c r="B38" s="487" t="s">
        <v>110</v>
      </c>
      <c r="C38" s="488" t="s">
        <v>111</v>
      </c>
      <c r="D38" s="472"/>
      <c r="E38" s="472"/>
      <c r="F38" s="472"/>
      <c r="G38" s="472" t="e">
        <f t="shared" si="5"/>
        <v>#DIV/0!</v>
      </c>
    </row>
    <row r="39" spans="1:7" ht="15" customHeight="1">
      <c r="A39" s="160" t="s">
        <v>5</v>
      </c>
      <c r="B39" s="480"/>
      <c r="C39" s="481" t="s">
        <v>791</v>
      </c>
      <c r="D39" s="470">
        <f>SUM(D40:D43)</f>
        <v>0</v>
      </c>
      <c r="E39" s="470">
        <f t="shared" ref="E39:F39" si="6">SUM(E40:E43)</f>
        <v>0</v>
      </c>
      <c r="F39" s="470">
        <f t="shared" si="6"/>
        <v>0</v>
      </c>
      <c r="G39" s="470"/>
    </row>
    <row r="40" spans="1:7" s="221" customFormat="1" ht="15" customHeight="1">
      <c r="A40" s="482"/>
      <c r="B40" s="483" t="s">
        <v>6</v>
      </c>
      <c r="C40" s="484" t="s">
        <v>780</v>
      </c>
      <c r="D40" s="485"/>
      <c r="E40" s="485"/>
      <c r="F40" s="485"/>
      <c r="G40" s="485"/>
    </row>
    <row r="41" spans="1:7" ht="15" customHeight="1">
      <c r="A41" s="486"/>
      <c r="B41" s="487" t="s">
        <v>8</v>
      </c>
      <c r="C41" s="488" t="s">
        <v>134</v>
      </c>
      <c r="D41" s="472"/>
      <c r="E41" s="472"/>
      <c r="F41" s="472"/>
      <c r="G41" s="472"/>
    </row>
    <row r="42" spans="1:7" ht="32.25" customHeight="1">
      <c r="A42" s="486"/>
      <c r="B42" s="487" t="s">
        <v>14</v>
      </c>
      <c r="C42" s="488" t="s">
        <v>137</v>
      </c>
      <c r="D42" s="472"/>
      <c r="E42" s="472"/>
      <c r="F42" s="472"/>
      <c r="G42" s="472"/>
    </row>
    <row r="43" spans="1:7" ht="15" customHeight="1">
      <c r="A43" s="486"/>
      <c r="B43" s="487" t="s">
        <v>18</v>
      </c>
      <c r="C43" s="488" t="s">
        <v>781</v>
      </c>
      <c r="D43" s="472"/>
      <c r="E43" s="472"/>
      <c r="F43" s="472"/>
      <c r="G43" s="472"/>
    </row>
    <row r="44" spans="1:7" ht="15" customHeight="1">
      <c r="A44" s="160" t="s">
        <v>19</v>
      </c>
      <c r="B44" s="480"/>
      <c r="C44" s="481" t="s">
        <v>782</v>
      </c>
      <c r="D44" s="475"/>
      <c r="E44" s="475"/>
      <c r="F44" s="475"/>
      <c r="G44" s="475"/>
    </row>
    <row r="45" spans="1:7" s="177" customFormat="1" ht="15" customHeight="1">
      <c r="A45" s="170"/>
      <c r="B45" s="12"/>
      <c r="C45" s="67" t="s">
        <v>783</v>
      </c>
      <c r="D45" s="209"/>
      <c r="E45" s="209"/>
      <c r="F45" s="209"/>
      <c r="G45" s="209"/>
    </row>
    <row r="46" spans="1:7" ht="15" customHeight="1">
      <c r="A46" s="256" t="s">
        <v>149</v>
      </c>
      <c r="B46" s="257"/>
      <c r="C46" s="467" t="s">
        <v>784</v>
      </c>
      <c r="D46" s="258">
        <f>+D33+D39+D44</f>
        <v>44129</v>
      </c>
      <c r="E46" s="258">
        <f t="shared" ref="E46:F46" si="7">+E33+E39+E44</f>
        <v>93827</v>
      </c>
      <c r="F46" s="258">
        <f t="shared" si="7"/>
        <v>93822</v>
      </c>
      <c r="G46" s="258">
        <f>F46/E46*100</f>
        <v>99.994671043516263</v>
      </c>
    </row>
    <row r="47" spans="1:7" ht="15" customHeight="1">
      <c r="A47" s="489"/>
      <c r="B47" s="490"/>
      <c r="C47" s="490"/>
      <c r="D47" s="490"/>
      <c r="E47" s="490"/>
      <c r="F47" s="490"/>
      <c r="G47" s="490"/>
    </row>
    <row r="48" spans="1:7" ht="15" customHeight="1">
      <c r="A48" s="491" t="s">
        <v>289</v>
      </c>
      <c r="B48" s="492"/>
      <c r="C48" s="493"/>
      <c r="D48" s="494">
        <v>3</v>
      </c>
      <c r="E48" s="494">
        <v>3</v>
      </c>
      <c r="F48" s="494">
        <v>3</v>
      </c>
      <c r="G48" s="494"/>
    </row>
    <row r="49" spans="1:7" ht="15" customHeight="1">
      <c r="A49" s="491" t="s">
        <v>290</v>
      </c>
      <c r="B49" s="492"/>
      <c r="C49" s="493"/>
      <c r="D49" s="494"/>
      <c r="E49" s="494"/>
      <c r="F49" s="494"/>
      <c r="G49" s="494"/>
    </row>
  </sheetData>
  <sheetProtection selectLockedCells="1" selectUnlockedCells="1"/>
  <mergeCells count="5">
    <mergeCell ref="D1:G1"/>
    <mergeCell ref="A2:B2"/>
    <mergeCell ref="A3:B3"/>
    <mergeCell ref="A5:B5"/>
    <mergeCell ref="D4:G4"/>
  </mergeCells>
  <printOptions horizontalCentered="1"/>
  <pageMargins left="0.23622047244094491" right="0.27559055118110237" top="0.27559055118110237" bottom="0.47244094488188981" header="0.15748031496062992" footer="0.23622047244094491"/>
  <pageSetup paperSize="9" scale="77" firstPageNumber="53" orientation="portrait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B1" zoomScaleNormal="130" workbookViewId="0">
      <selection activeCell="E22" sqref="E1:H1048576"/>
    </sheetView>
  </sheetViews>
  <sheetFormatPr defaultRowHeight="12.75"/>
  <cols>
    <col min="1" max="1" width="9.6640625" style="151" customWidth="1"/>
    <col min="2" max="2" width="6.83203125" style="152" customWidth="1"/>
    <col min="3" max="3" width="68.5" style="152" customWidth="1"/>
    <col min="4" max="4" width="14" style="152" customWidth="1"/>
    <col min="5" max="6" width="15.6640625" style="152" customWidth="1"/>
    <col min="7" max="7" width="10.5" style="152" customWidth="1"/>
    <col min="8" max="16384" width="9.33203125" style="152"/>
  </cols>
  <sheetData>
    <row r="1" spans="1:7" s="436" customFormat="1" ht="21" customHeight="1">
      <c r="A1" s="495"/>
      <c r="B1" s="496"/>
      <c r="C1" s="497"/>
      <c r="D1" s="1944" t="s">
        <v>792</v>
      </c>
      <c r="E1" s="1944"/>
      <c r="F1" s="1944"/>
      <c r="G1" s="1944"/>
    </row>
    <row r="2" spans="1:7" s="155" customFormat="1" ht="27" customHeight="1">
      <c r="A2" s="1948" t="s">
        <v>760</v>
      </c>
      <c r="B2" s="1948"/>
      <c r="C2" s="153" t="s">
        <v>761</v>
      </c>
      <c r="D2" s="498"/>
      <c r="E2" s="498"/>
      <c r="F2" s="498"/>
      <c r="G2" s="498"/>
    </row>
    <row r="3" spans="1:7" s="155" customFormat="1" ht="31.5" customHeight="1" thickBot="1">
      <c r="A3" s="1949" t="s">
        <v>258</v>
      </c>
      <c r="B3" s="1949"/>
      <c r="C3" s="156" t="s">
        <v>793</v>
      </c>
      <c r="D3" s="499"/>
      <c r="E3" s="499"/>
      <c r="F3" s="499"/>
      <c r="G3" s="499"/>
    </row>
    <row r="4" spans="1:7" s="159" customFormat="1" ht="15.95" customHeight="1" thickBot="1">
      <c r="A4" s="457"/>
      <c r="B4" s="457"/>
      <c r="C4" s="457"/>
      <c r="D4" s="1908" t="s">
        <v>194</v>
      </c>
      <c r="E4" s="1908"/>
      <c r="F4" s="1908"/>
      <c r="G4" s="1908"/>
    </row>
    <row r="5" spans="1:7" ht="27" customHeight="1" thickBot="1">
      <c r="A5" s="1946" t="s">
        <v>260</v>
      </c>
      <c r="B5" s="1946"/>
      <c r="C5" s="459" t="s">
        <v>261</v>
      </c>
      <c r="D5" s="460" t="s">
        <v>262</v>
      </c>
      <c r="E5" s="460" t="s">
        <v>263</v>
      </c>
      <c r="F5" s="460" t="s">
        <v>264</v>
      </c>
      <c r="G5" s="460" t="s">
        <v>2</v>
      </c>
    </row>
    <row r="6" spans="1:7" s="165" customFormat="1" ht="15" customHeight="1">
      <c r="A6" s="170">
        <v>1</v>
      </c>
      <c r="B6" s="461">
        <v>2</v>
      </c>
      <c r="C6" s="461">
        <v>3</v>
      </c>
      <c r="D6" s="462">
        <v>4</v>
      </c>
      <c r="E6" s="462">
        <v>5</v>
      </c>
      <c r="F6" s="462">
        <v>6</v>
      </c>
      <c r="G6" s="462">
        <v>7</v>
      </c>
    </row>
    <row r="7" spans="1:7" s="165" customFormat="1" ht="15" customHeight="1">
      <c r="A7" s="256"/>
      <c r="B7" s="257"/>
      <c r="C7" s="500" t="s">
        <v>196</v>
      </c>
      <c r="D7" s="258"/>
      <c r="E7" s="258"/>
      <c r="F7" s="258"/>
      <c r="G7" s="258"/>
    </row>
    <row r="8" spans="1:7" s="173" customFormat="1" ht="15" customHeight="1">
      <c r="A8" s="170" t="s">
        <v>4</v>
      </c>
      <c r="B8" s="171"/>
      <c r="C8" s="172" t="s">
        <v>762</v>
      </c>
      <c r="D8" s="242">
        <f>SUM(D9:D16)</f>
        <v>0</v>
      </c>
      <c r="E8" s="242">
        <f t="shared" ref="E8:F8" si="0">SUM(E9:E16)</f>
        <v>0</v>
      </c>
      <c r="F8" s="242">
        <f t="shared" si="0"/>
        <v>0</v>
      </c>
      <c r="G8" s="242"/>
    </row>
    <row r="9" spans="1:7" s="173" customFormat="1" ht="15" customHeight="1">
      <c r="A9" s="181"/>
      <c r="B9" s="175" t="s">
        <v>102</v>
      </c>
      <c r="C9" s="19" t="s">
        <v>22</v>
      </c>
      <c r="D9" s="245"/>
      <c r="E9" s="245"/>
      <c r="F9" s="245"/>
      <c r="G9" s="245"/>
    </row>
    <row r="10" spans="1:7" s="173" customFormat="1" ht="15" customHeight="1">
      <c r="A10" s="174"/>
      <c r="B10" s="175" t="s">
        <v>104</v>
      </c>
      <c r="C10" s="15" t="s">
        <v>24</v>
      </c>
      <c r="D10" s="243"/>
      <c r="E10" s="243"/>
      <c r="F10" s="243"/>
      <c r="G10" s="243"/>
    </row>
    <row r="11" spans="1:7" s="173" customFormat="1" ht="15" customHeight="1">
      <c r="A11" s="174"/>
      <c r="B11" s="175" t="s">
        <v>106</v>
      </c>
      <c r="C11" s="15" t="s">
        <v>26</v>
      </c>
      <c r="D11" s="243"/>
      <c r="E11" s="243"/>
      <c r="F11" s="243"/>
      <c r="G11" s="243"/>
    </row>
    <row r="12" spans="1:7" s="173" customFormat="1" ht="15" customHeight="1">
      <c r="A12" s="174"/>
      <c r="B12" s="175" t="s">
        <v>108</v>
      </c>
      <c r="C12" s="15" t="s">
        <v>28</v>
      </c>
      <c r="D12" s="243"/>
      <c r="E12" s="243"/>
      <c r="F12" s="243"/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/>
      <c r="E13" s="243"/>
      <c r="F13" s="243"/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4"/>
      <c r="E14" s="244"/>
      <c r="F14" s="244"/>
      <c r="G14" s="244"/>
    </row>
    <row r="15" spans="1:7" s="177" customFormat="1" ht="15" customHeight="1">
      <c r="A15" s="174"/>
      <c r="B15" s="175" t="s">
        <v>437</v>
      </c>
      <c r="C15" s="15" t="s">
        <v>34</v>
      </c>
      <c r="D15" s="243"/>
      <c r="E15" s="243"/>
      <c r="F15" s="243"/>
      <c r="G15" s="243"/>
    </row>
    <row r="16" spans="1:7" s="177" customFormat="1" ht="15" customHeight="1">
      <c r="A16" s="183"/>
      <c r="B16" s="184" t="s">
        <v>439</v>
      </c>
      <c r="C16" s="22" t="s">
        <v>36</v>
      </c>
      <c r="D16" s="246"/>
      <c r="E16" s="246"/>
      <c r="F16" s="246"/>
      <c r="G16" s="246"/>
    </row>
    <row r="17" spans="1:7" s="173" customFormat="1" ht="15" customHeight="1">
      <c r="A17" s="170" t="s">
        <v>5</v>
      </c>
      <c r="B17" s="171"/>
      <c r="C17" s="211" t="s">
        <v>1635</v>
      </c>
      <c r="D17" s="242">
        <f>SUM(D18:D21)</f>
        <v>0</v>
      </c>
      <c r="E17" s="242">
        <f t="shared" ref="E17:F17" si="1">SUM(E18:E21)</f>
        <v>0</v>
      </c>
      <c r="F17" s="242">
        <f t="shared" si="1"/>
        <v>0</v>
      </c>
      <c r="G17" s="242"/>
    </row>
    <row r="18" spans="1:7" s="177" customFormat="1" ht="15" customHeight="1">
      <c r="A18" s="174"/>
      <c r="B18" s="175" t="s">
        <v>6</v>
      </c>
      <c r="C18" s="27" t="s">
        <v>1636</v>
      </c>
      <c r="D18" s="243"/>
      <c r="E18" s="243"/>
      <c r="F18" s="243"/>
      <c r="G18" s="243"/>
    </row>
    <row r="19" spans="1:7" s="177" customFormat="1" ht="15" customHeight="1">
      <c r="A19" s="174"/>
      <c r="B19" s="175" t="s">
        <v>8</v>
      </c>
      <c r="C19" s="15" t="s">
        <v>1637</v>
      </c>
      <c r="D19" s="243"/>
      <c r="E19" s="243"/>
      <c r="F19" s="243"/>
      <c r="G19" s="243"/>
    </row>
    <row r="20" spans="1:7" s="177" customFormat="1" ht="15" customHeight="1">
      <c r="A20" s="174"/>
      <c r="B20" s="175" t="s">
        <v>10</v>
      </c>
      <c r="C20" s="15" t="s">
        <v>766</v>
      </c>
      <c r="D20" s="243"/>
      <c r="E20" s="243"/>
      <c r="F20" s="243"/>
      <c r="G20" s="243"/>
    </row>
    <row r="21" spans="1:7" s="177" customFormat="1" ht="15" customHeight="1">
      <c r="A21" s="174"/>
      <c r="B21" s="175" t="s">
        <v>12</v>
      </c>
      <c r="C21" s="15" t="s">
        <v>767</v>
      </c>
      <c r="D21" s="243"/>
      <c r="E21" s="243"/>
      <c r="F21" s="243"/>
      <c r="G21" s="243"/>
    </row>
    <row r="22" spans="1:7" s="177" customFormat="1" ht="15" customHeight="1">
      <c r="A22" s="170" t="s">
        <v>19</v>
      </c>
      <c r="B22" s="12"/>
      <c r="C22" s="12" t="s">
        <v>768</v>
      </c>
      <c r="D22" s="209"/>
      <c r="E22" s="209"/>
      <c r="F22" s="209"/>
      <c r="G22" s="209"/>
    </row>
    <row r="23" spans="1:7" s="177" customFormat="1" ht="15" customHeight="1">
      <c r="A23" s="170" t="s">
        <v>149</v>
      </c>
      <c r="B23" s="12"/>
      <c r="C23" s="12" t="s">
        <v>769</v>
      </c>
      <c r="D23" s="243"/>
      <c r="E23" s="243"/>
      <c r="F23" s="243"/>
      <c r="G23" s="243"/>
    </row>
    <row r="24" spans="1:7" s="173" customFormat="1" ht="15" customHeight="1">
      <c r="A24" s="170" t="s">
        <v>38</v>
      </c>
      <c r="B24" s="171"/>
      <c r="C24" s="12" t="s">
        <v>770</v>
      </c>
      <c r="D24" s="243"/>
      <c r="E24" s="243"/>
      <c r="F24" s="243"/>
      <c r="G24" s="243"/>
    </row>
    <row r="25" spans="1:7" s="173" customFormat="1" ht="15" customHeight="1">
      <c r="A25" s="170" t="s">
        <v>48</v>
      </c>
      <c r="B25" s="198"/>
      <c r="C25" s="12" t="s">
        <v>771</v>
      </c>
      <c r="D25" s="254">
        <f>+D26+D27</f>
        <v>0</v>
      </c>
      <c r="E25" s="254">
        <f t="shared" ref="E25:F25" si="2">+E26+E27</f>
        <v>0</v>
      </c>
      <c r="F25" s="254">
        <f t="shared" si="2"/>
        <v>0</v>
      </c>
      <c r="G25" s="254"/>
    </row>
    <row r="26" spans="1:7" s="173" customFormat="1" ht="15" customHeight="1">
      <c r="A26" s="181"/>
      <c r="B26" s="188" t="s">
        <v>49</v>
      </c>
      <c r="C26" s="19" t="s">
        <v>772</v>
      </c>
      <c r="D26" s="243"/>
      <c r="E26" s="243"/>
      <c r="F26" s="243"/>
      <c r="G26" s="243"/>
    </row>
    <row r="27" spans="1:7" s="173" customFormat="1" ht="15" customHeight="1">
      <c r="A27" s="191"/>
      <c r="B27" s="192" t="s">
        <v>62</v>
      </c>
      <c r="C27" s="24" t="s">
        <v>773</v>
      </c>
      <c r="D27" s="243"/>
      <c r="E27" s="243"/>
      <c r="F27" s="243"/>
      <c r="G27" s="243"/>
    </row>
    <row r="28" spans="1:7" s="177" customFormat="1" ht="15" customHeight="1">
      <c r="A28" s="201" t="s">
        <v>178</v>
      </c>
      <c r="B28" s="202"/>
      <c r="C28" s="12" t="s">
        <v>274</v>
      </c>
      <c r="D28" s="243">
        <v>40297</v>
      </c>
      <c r="E28" s="243">
        <v>40756</v>
      </c>
      <c r="F28" s="243">
        <v>40756</v>
      </c>
      <c r="G28" s="243">
        <f>F28/E28*100</f>
        <v>100</v>
      </c>
    </row>
    <row r="29" spans="1:7" s="177" customFormat="1" ht="15" customHeight="1">
      <c r="A29" s="201"/>
      <c r="B29" s="202"/>
      <c r="C29" s="12" t="s">
        <v>774</v>
      </c>
      <c r="D29" s="209"/>
      <c r="E29" s="209"/>
      <c r="F29" s="209"/>
      <c r="G29" s="209"/>
    </row>
    <row r="30" spans="1:7" s="177" customFormat="1" ht="18.75" customHeight="1">
      <c r="A30" s="256" t="s">
        <v>74</v>
      </c>
      <c r="B30" s="257"/>
      <c r="C30" s="467" t="s">
        <v>775</v>
      </c>
      <c r="D30" s="258">
        <f>SUM(D8,D17,D22,D23,D24,D25,D28)</f>
        <v>40297</v>
      </c>
      <c r="E30" s="258">
        <f t="shared" ref="E30:F30" si="3">SUM(E8,E17,E22,E23,E24,E25,E28)</f>
        <v>40756</v>
      </c>
      <c r="F30" s="258">
        <f t="shared" si="3"/>
        <v>40756</v>
      </c>
      <c r="G30" s="258">
        <f>F30/E30*100</f>
        <v>100</v>
      </c>
    </row>
    <row r="31" spans="1:7" s="177" customFormat="1" ht="15" customHeight="1">
      <c r="A31" s="449"/>
      <c r="B31" s="449"/>
      <c r="C31" s="468"/>
      <c r="D31" s="501"/>
      <c r="E31" s="501"/>
      <c r="F31" s="501"/>
      <c r="G31" s="501"/>
    </row>
    <row r="32" spans="1:7" s="165" customFormat="1" ht="15" customHeight="1">
      <c r="A32" s="256"/>
      <c r="B32" s="257"/>
      <c r="C32" s="500" t="s">
        <v>197</v>
      </c>
      <c r="D32" s="258"/>
      <c r="E32" s="258"/>
      <c r="F32" s="258"/>
      <c r="G32" s="258"/>
    </row>
    <row r="33" spans="1:7" s="221" customFormat="1" ht="15" customHeight="1">
      <c r="A33" s="170" t="s">
        <v>4</v>
      </c>
      <c r="B33" s="12"/>
      <c r="C33" s="67" t="s">
        <v>101</v>
      </c>
      <c r="D33" s="242">
        <f>SUM(D34:D38)</f>
        <v>40297</v>
      </c>
      <c r="E33" s="242">
        <f t="shared" ref="E33:F33" si="4">SUM(E34:E38)</f>
        <v>40756</v>
      </c>
      <c r="F33" s="242">
        <f t="shared" si="4"/>
        <v>40756</v>
      </c>
      <c r="G33" s="242">
        <f>F33/E33*100</f>
        <v>100</v>
      </c>
    </row>
    <row r="34" spans="1:7" ht="15" customHeight="1">
      <c r="A34" s="193"/>
      <c r="B34" s="220" t="s">
        <v>102</v>
      </c>
      <c r="C34" s="27" t="s">
        <v>103</v>
      </c>
      <c r="D34" s="250">
        <v>24899</v>
      </c>
      <c r="E34" s="250">
        <v>25266</v>
      </c>
      <c r="F34" s="250">
        <v>25266</v>
      </c>
      <c r="G34" s="250">
        <f>F34/E34*100</f>
        <v>100</v>
      </c>
    </row>
    <row r="35" spans="1:7" ht="15" customHeight="1">
      <c r="A35" s="174"/>
      <c r="B35" s="189" t="s">
        <v>104</v>
      </c>
      <c r="C35" s="15" t="s">
        <v>105</v>
      </c>
      <c r="D35" s="243">
        <v>6723</v>
      </c>
      <c r="E35" s="243">
        <v>6126</v>
      </c>
      <c r="F35" s="243">
        <v>6126</v>
      </c>
      <c r="G35" s="243">
        <f>F35/E35*100</f>
        <v>100</v>
      </c>
    </row>
    <row r="36" spans="1:7" ht="15" customHeight="1">
      <c r="A36" s="174"/>
      <c r="B36" s="189" t="s">
        <v>106</v>
      </c>
      <c r="C36" s="15" t="s">
        <v>107</v>
      </c>
      <c r="D36" s="243">
        <v>8675</v>
      </c>
      <c r="E36" s="243">
        <v>9364</v>
      </c>
      <c r="F36" s="243">
        <v>9364</v>
      </c>
      <c r="G36" s="243">
        <f>F36/E36*100</f>
        <v>100</v>
      </c>
    </row>
    <row r="37" spans="1:7" ht="15" customHeight="1">
      <c r="A37" s="174"/>
      <c r="B37" s="189" t="s">
        <v>108</v>
      </c>
      <c r="C37" s="15" t="s">
        <v>109</v>
      </c>
      <c r="D37" s="243"/>
      <c r="E37" s="243"/>
      <c r="F37" s="243"/>
      <c r="G37" s="243"/>
    </row>
    <row r="38" spans="1:7" ht="15" customHeight="1">
      <c r="A38" s="174"/>
      <c r="B38" s="189" t="s">
        <v>110</v>
      </c>
      <c r="C38" s="15" t="s">
        <v>111</v>
      </c>
      <c r="D38" s="243"/>
      <c r="E38" s="243"/>
      <c r="F38" s="243"/>
      <c r="G38" s="243"/>
    </row>
    <row r="39" spans="1:7" ht="15" customHeight="1">
      <c r="A39" s="170" t="s">
        <v>5</v>
      </c>
      <c r="B39" s="12"/>
      <c r="C39" s="67" t="s">
        <v>787</v>
      </c>
      <c r="D39" s="242">
        <f>SUM(D40:D43)</f>
        <v>0</v>
      </c>
      <c r="E39" s="242">
        <f t="shared" ref="E39:F39" si="5">SUM(E40:E43)</f>
        <v>0</v>
      </c>
      <c r="F39" s="242">
        <f t="shared" si="5"/>
        <v>0</v>
      </c>
      <c r="G39" s="242"/>
    </row>
    <row r="40" spans="1:7" s="221" customFormat="1" ht="15" customHeight="1">
      <c r="A40" s="193"/>
      <c r="B40" s="220" t="s">
        <v>6</v>
      </c>
      <c r="C40" s="27" t="s">
        <v>780</v>
      </c>
      <c r="D40" s="250"/>
      <c r="E40" s="250"/>
      <c r="F40" s="250"/>
      <c r="G40" s="250"/>
    </row>
    <row r="41" spans="1:7" ht="15" customHeight="1">
      <c r="A41" s="174"/>
      <c r="B41" s="189" t="s">
        <v>8</v>
      </c>
      <c r="C41" s="15" t="s">
        <v>134</v>
      </c>
      <c r="D41" s="243"/>
      <c r="E41" s="243"/>
      <c r="F41" s="243"/>
      <c r="G41" s="243"/>
    </row>
    <row r="42" spans="1:7" ht="30.75" customHeight="1">
      <c r="A42" s="174"/>
      <c r="B42" s="189" t="s">
        <v>14</v>
      </c>
      <c r="C42" s="15" t="s">
        <v>137</v>
      </c>
      <c r="D42" s="243"/>
      <c r="E42" s="243"/>
      <c r="F42" s="243"/>
      <c r="G42" s="243"/>
    </row>
    <row r="43" spans="1:7" ht="15" customHeight="1">
      <c r="A43" s="174"/>
      <c r="B43" s="189" t="s">
        <v>18</v>
      </c>
      <c r="C43" s="15" t="s">
        <v>781</v>
      </c>
      <c r="D43" s="243"/>
      <c r="E43" s="243"/>
      <c r="F43" s="243"/>
      <c r="G43" s="243"/>
    </row>
    <row r="44" spans="1:7" ht="15" customHeight="1">
      <c r="A44" s="170" t="s">
        <v>19</v>
      </c>
      <c r="B44" s="12"/>
      <c r="C44" s="67" t="s">
        <v>782</v>
      </c>
      <c r="D44" s="209"/>
      <c r="E44" s="209"/>
      <c r="F44" s="209"/>
      <c r="G44" s="209"/>
    </row>
    <row r="45" spans="1:7" s="177" customFormat="1" ht="15" customHeight="1">
      <c r="A45" s="170"/>
      <c r="B45" s="12"/>
      <c r="C45" s="67" t="s">
        <v>783</v>
      </c>
      <c r="D45" s="209"/>
      <c r="E45" s="209"/>
      <c r="F45" s="209"/>
      <c r="G45" s="209"/>
    </row>
    <row r="46" spans="1:7" s="502" customFormat="1" ht="15" customHeight="1">
      <c r="A46" s="256" t="s">
        <v>149</v>
      </c>
      <c r="B46" s="257"/>
      <c r="C46" s="467" t="s">
        <v>784</v>
      </c>
      <c r="D46" s="258">
        <f>+D33+D39+D44</f>
        <v>40297</v>
      </c>
      <c r="E46" s="258">
        <f t="shared" ref="E46:F46" si="6">+E33+E39+E44</f>
        <v>40756</v>
      </c>
      <c r="F46" s="258">
        <f t="shared" si="6"/>
        <v>40756</v>
      </c>
      <c r="G46" s="258">
        <f>F46/E46*100</f>
        <v>100</v>
      </c>
    </row>
    <row r="47" spans="1:7" ht="15" customHeight="1">
      <c r="A47" s="230"/>
      <c r="B47" s="231"/>
      <c r="C47" s="231"/>
      <c r="D47" s="231"/>
      <c r="E47" s="231"/>
      <c r="F47" s="231"/>
      <c r="G47" s="231"/>
    </row>
    <row r="48" spans="1:7" ht="15" customHeight="1">
      <c r="A48" s="232" t="s">
        <v>289</v>
      </c>
      <c r="B48" s="233"/>
      <c r="C48" s="234"/>
      <c r="D48" s="469">
        <v>0</v>
      </c>
      <c r="E48" s="469">
        <v>0</v>
      </c>
      <c r="F48" s="469">
        <v>0</v>
      </c>
      <c r="G48" s="469"/>
    </row>
    <row r="49" spans="1:7" ht="15" customHeight="1">
      <c r="A49" s="232" t="s">
        <v>290</v>
      </c>
      <c r="B49" s="233"/>
      <c r="C49" s="234"/>
      <c r="D49" s="469"/>
      <c r="E49" s="469"/>
      <c r="F49" s="469"/>
      <c r="G49" s="469"/>
    </row>
  </sheetData>
  <sheetProtection selectLockedCells="1" selectUnlockedCells="1"/>
  <mergeCells count="5">
    <mergeCell ref="D1:G1"/>
    <mergeCell ref="A2:B2"/>
    <mergeCell ref="A3:B3"/>
    <mergeCell ref="A5:B5"/>
    <mergeCell ref="D4:G4"/>
  </mergeCells>
  <printOptions horizontalCentered="1"/>
  <pageMargins left="0.35433070866141736" right="0.23622047244094491" top="0.43307086614173229" bottom="0.39370078740157483" header="0.23622047244094491" footer="0.15748031496062992"/>
  <pageSetup paperSize="9" scale="77" firstPageNumber="54" orientation="portrait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view="pageBreakPreview" topLeftCell="B22" zoomScaleNormal="130" workbookViewId="0">
      <selection activeCell="K45" sqref="K45"/>
    </sheetView>
  </sheetViews>
  <sheetFormatPr defaultRowHeight="12.75"/>
  <cols>
    <col min="1" max="1" width="7.5" style="151" customWidth="1"/>
    <col min="2" max="2" width="8.83203125" style="152" customWidth="1"/>
    <col min="3" max="3" width="68" style="152" customWidth="1"/>
    <col min="4" max="4" width="14.83203125" style="152" customWidth="1"/>
    <col min="5" max="6" width="14.5" style="152" customWidth="1"/>
    <col min="7" max="7" width="10.6640625" style="152" customWidth="1"/>
    <col min="8" max="16384" width="9.33203125" style="152"/>
  </cols>
  <sheetData>
    <row r="1" spans="1:7" s="436" customFormat="1" ht="21" customHeight="1">
      <c r="A1" s="433"/>
      <c r="B1" s="434"/>
      <c r="C1" s="455"/>
      <c r="D1" s="1944" t="s">
        <v>794</v>
      </c>
      <c r="E1" s="1944"/>
      <c r="F1" s="1944"/>
      <c r="G1" s="1944"/>
    </row>
    <row r="2" spans="1:7" s="155" customFormat="1" ht="27.75" customHeight="1">
      <c r="A2" s="1901" t="s">
        <v>760</v>
      </c>
      <c r="B2" s="1901"/>
      <c r="C2" s="153" t="s">
        <v>761</v>
      </c>
      <c r="D2" s="456"/>
      <c r="E2" s="456"/>
      <c r="F2" s="456"/>
      <c r="G2" s="456"/>
    </row>
    <row r="3" spans="1:7" s="155" customFormat="1" ht="32.25" customHeight="1" thickBot="1">
      <c r="A3" s="1899" t="s">
        <v>258</v>
      </c>
      <c r="B3" s="1899"/>
      <c r="C3" s="156" t="s">
        <v>795</v>
      </c>
      <c r="D3" s="437"/>
      <c r="E3" s="437"/>
      <c r="F3" s="437"/>
      <c r="G3" s="437"/>
    </row>
    <row r="4" spans="1:7" s="159" customFormat="1" ht="15" customHeight="1" thickBot="1">
      <c r="A4" s="457"/>
      <c r="B4" s="457"/>
      <c r="C4" s="457"/>
      <c r="D4" s="1947" t="s">
        <v>194</v>
      </c>
      <c r="E4" s="1947"/>
      <c r="F4" s="1947"/>
      <c r="G4" s="1947"/>
    </row>
    <row r="5" spans="1:7" ht="33" customHeight="1" thickBo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7" s="165" customFormat="1" ht="15" customHeight="1">
      <c r="A6" s="170">
        <v>1</v>
      </c>
      <c r="B6" s="461">
        <v>2</v>
      </c>
      <c r="C6" s="461">
        <v>3</v>
      </c>
      <c r="D6" s="462">
        <v>4</v>
      </c>
      <c r="E6" s="462">
        <v>5</v>
      </c>
      <c r="F6" s="462">
        <v>6</v>
      </c>
      <c r="G6" s="462">
        <v>7</v>
      </c>
    </row>
    <row r="7" spans="1:7" s="165" customFormat="1" ht="15" customHeight="1">
      <c r="A7" s="256"/>
      <c r="B7" s="257"/>
      <c r="C7" s="500" t="s">
        <v>196</v>
      </c>
      <c r="D7" s="258"/>
      <c r="E7" s="258"/>
      <c r="F7" s="258"/>
      <c r="G7" s="258"/>
    </row>
    <row r="8" spans="1:7" s="173" customFormat="1" ht="15" customHeight="1">
      <c r="A8" s="170" t="s">
        <v>4</v>
      </c>
      <c r="B8" s="171"/>
      <c r="C8" s="172" t="s">
        <v>762</v>
      </c>
      <c r="D8" s="242">
        <f>SUM(D9:D16)</f>
        <v>0</v>
      </c>
      <c r="E8" s="242">
        <f t="shared" ref="E8:F8" si="0">SUM(E9:E16)</f>
        <v>0</v>
      </c>
      <c r="F8" s="242">
        <f t="shared" si="0"/>
        <v>0</v>
      </c>
      <c r="G8" s="242"/>
    </row>
    <row r="9" spans="1:7" s="173" customFormat="1" ht="15" customHeight="1">
      <c r="A9" s="181"/>
      <c r="B9" s="175" t="s">
        <v>102</v>
      </c>
      <c r="C9" s="19" t="s">
        <v>22</v>
      </c>
      <c r="D9" s="245"/>
      <c r="E9" s="245"/>
      <c r="F9" s="245"/>
      <c r="G9" s="245"/>
    </row>
    <row r="10" spans="1:7" s="173" customFormat="1" ht="15" customHeight="1">
      <c r="A10" s="174"/>
      <c r="B10" s="175" t="s">
        <v>104</v>
      </c>
      <c r="C10" s="15" t="s">
        <v>24</v>
      </c>
      <c r="D10" s="243"/>
      <c r="E10" s="243"/>
      <c r="F10" s="243"/>
      <c r="G10" s="243"/>
    </row>
    <row r="11" spans="1:7" s="173" customFormat="1" ht="15" customHeight="1">
      <c r="A11" s="174"/>
      <c r="B11" s="175" t="s">
        <v>106</v>
      </c>
      <c r="C11" s="15" t="s">
        <v>26</v>
      </c>
      <c r="D11" s="243"/>
      <c r="E11" s="243"/>
      <c r="F11" s="243"/>
      <c r="G11" s="243"/>
    </row>
    <row r="12" spans="1:7" s="173" customFormat="1" ht="15" customHeight="1">
      <c r="A12" s="174"/>
      <c r="B12" s="175" t="s">
        <v>108</v>
      </c>
      <c r="C12" s="15" t="s">
        <v>28</v>
      </c>
      <c r="D12" s="243"/>
      <c r="E12" s="243"/>
      <c r="F12" s="243"/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/>
      <c r="E13" s="243"/>
      <c r="F13" s="243"/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4"/>
      <c r="E14" s="244"/>
      <c r="F14" s="244"/>
      <c r="G14" s="244"/>
    </row>
    <row r="15" spans="1:7" s="177" customFormat="1" ht="15" customHeight="1">
      <c r="A15" s="174"/>
      <c r="B15" s="175" t="s">
        <v>437</v>
      </c>
      <c r="C15" s="15" t="s">
        <v>34</v>
      </c>
      <c r="D15" s="243"/>
      <c r="E15" s="243"/>
      <c r="F15" s="243"/>
      <c r="G15" s="243"/>
    </row>
    <row r="16" spans="1:7" s="177" customFormat="1" ht="15" customHeight="1">
      <c r="A16" s="183"/>
      <c r="B16" s="184" t="s">
        <v>439</v>
      </c>
      <c r="C16" s="22" t="s">
        <v>36</v>
      </c>
      <c r="D16" s="246"/>
      <c r="E16" s="246"/>
      <c r="F16" s="246"/>
      <c r="G16" s="246"/>
    </row>
    <row r="17" spans="1:10" s="173" customFormat="1" ht="15" customHeight="1">
      <c r="A17" s="170" t="s">
        <v>5</v>
      </c>
      <c r="B17" s="171"/>
      <c r="C17" s="211" t="s">
        <v>1635</v>
      </c>
      <c r="D17" s="242">
        <f>SUM(D18:D21)</f>
        <v>948</v>
      </c>
      <c r="E17" s="242">
        <f t="shared" ref="E17:F17" si="1">SUM(E18:E21)</f>
        <v>948</v>
      </c>
      <c r="F17" s="242">
        <f t="shared" si="1"/>
        <v>948</v>
      </c>
      <c r="G17" s="242">
        <f>F17/E17*100</f>
        <v>100</v>
      </c>
    </row>
    <row r="18" spans="1:10" s="177" customFormat="1" ht="15" customHeight="1">
      <c r="A18" s="174"/>
      <c r="B18" s="175" t="s">
        <v>6</v>
      </c>
      <c r="C18" s="27" t="s">
        <v>1636</v>
      </c>
      <c r="D18" s="243">
        <v>948</v>
      </c>
      <c r="E18" s="243">
        <v>948</v>
      </c>
      <c r="F18" s="243">
        <v>948</v>
      </c>
      <c r="G18" s="243">
        <f>F18/E18*100</f>
        <v>100</v>
      </c>
    </row>
    <row r="19" spans="1:10" s="177" customFormat="1" ht="15" customHeight="1">
      <c r="A19" s="174"/>
      <c r="B19" s="175" t="s">
        <v>8</v>
      </c>
      <c r="C19" s="15" t="s">
        <v>1637</v>
      </c>
      <c r="D19" s="243"/>
      <c r="E19" s="243"/>
      <c r="F19" s="243"/>
      <c r="G19" s="243"/>
    </row>
    <row r="20" spans="1:10" s="177" customFormat="1" ht="15" customHeight="1">
      <c r="A20" s="174"/>
      <c r="B20" s="175" t="s">
        <v>10</v>
      </c>
      <c r="C20" s="15" t="s">
        <v>766</v>
      </c>
      <c r="D20" s="243"/>
      <c r="E20" s="243"/>
      <c r="F20" s="243"/>
      <c r="G20" s="243"/>
    </row>
    <row r="21" spans="1:10" s="177" customFormat="1" ht="15" customHeight="1">
      <c r="A21" s="174"/>
      <c r="B21" s="175" t="s">
        <v>12</v>
      </c>
      <c r="C21" s="15" t="s">
        <v>767</v>
      </c>
      <c r="D21" s="243"/>
      <c r="E21" s="243"/>
      <c r="F21" s="243"/>
      <c r="G21" s="243"/>
    </row>
    <row r="22" spans="1:10" s="177" customFormat="1" ht="15" customHeight="1">
      <c r="A22" s="170" t="s">
        <v>19</v>
      </c>
      <c r="B22" s="12"/>
      <c r="C22" s="12" t="s">
        <v>768</v>
      </c>
      <c r="D22" s="209"/>
      <c r="E22" s="209"/>
      <c r="F22" s="209"/>
      <c r="G22" s="209"/>
    </row>
    <row r="23" spans="1:10" s="177" customFormat="1" ht="15" customHeight="1">
      <c r="A23" s="170" t="s">
        <v>149</v>
      </c>
      <c r="B23" s="12"/>
      <c r="C23" s="12" t="s">
        <v>769</v>
      </c>
      <c r="D23" s="243"/>
      <c r="E23" s="243"/>
      <c r="F23" s="243"/>
      <c r="G23" s="243"/>
    </row>
    <row r="24" spans="1:10" s="173" customFormat="1" ht="15" customHeight="1">
      <c r="A24" s="170" t="s">
        <v>38</v>
      </c>
      <c r="B24" s="171"/>
      <c r="C24" s="12" t="s">
        <v>770</v>
      </c>
      <c r="D24" s="243"/>
      <c r="E24" s="243"/>
      <c r="F24" s="243"/>
      <c r="G24" s="243"/>
    </row>
    <row r="25" spans="1:10" s="173" customFormat="1" ht="15" customHeight="1">
      <c r="A25" s="170" t="s">
        <v>48</v>
      </c>
      <c r="B25" s="198"/>
      <c r="C25" s="12" t="s">
        <v>771</v>
      </c>
      <c r="D25" s="254">
        <f>+D26+D27</f>
        <v>0</v>
      </c>
      <c r="E25" s="254">
        <f t="shared" ref="E25:F25" si="2">+E26+E27</f>
        <v>0</v>
      </c>
      <c r="F25" s="254">
        <f t="shared" si="2"/>
        <v>0</v>
      </c>
      <c r="G25" s="254"/>
    </row>
    <row r="26" spans="1:10" s="173" customFormat="1" ht="15" customHeight="1">
      <c r="A26" s="181"/>
      <c r="B26" s="188" t="s">
        <v>49</v>
      </c>
      <c r="C26" s="19" t="s">
        <v>772</v>
      </c>
      <c r="D26" s="243"/>
      <c r="E26" s="243"/>
      <c r="F26" s="243"/>
      <c r="G26" s="243"/>
    </row>
    <row r="27" spans="1:10" s="173" customFormat="1" ht="15" customHeight="1">
      <c r="A27" s="191"/>
      <c r="B27" s="192" t="s">
        <v>62</v>
      </c>
      <c r="C27" s="24" t="s">
        <v>773</v>
      </c>
      <c r="D27" s="243"/>
      <c r="E27" s="243"/>
      <c r="F27" s="243"/>
      <c r="G27" s="243"/>
    </row>
    <row r="28" spans="1:10" s="177" customFormat="1" ht="15" customHeight="1">
      <c r="A28" s="201" t="s">
        <v>178</v>
      </c>
      <c r="B28" s="202"/>
      <c r="C28" s="12" t="s">
        <v>274</v>
      </c>
      <c r="D28" s="243">
        <v>14448</v>
      </c>
      <c r="E28" s="243">
        <v>14344</v>
      </c>
      <c r="F28" s="243">
        <v>14344</v>
      </c>
      <c r="G28" s="243">
        <f>F28/E28*100</f>
        <v>100</v>
      </c>
      <c r="J28" s="190">
        <f>SUM(D46-D30)</f>
        <v>0</v>
      </c>
    </row>
    <row r="29" spans="1:10" s="177" customFormat="1" ht="15" customHeight="1">
      <c r="A29" s="201"/>
      <c r="B29" s="202"/>
      <c r="C29" s="12" t="s">
        <v>774</v>
      </c>
      <c r="D29" s="209"/>
      <c r="E29" s="209"/>
      <c r="F29" s="209"/>
      <c r="G29" s="209"/>
    </row>
    <row r="30" spans="1:10" s="177" customFormat="1" ht="15" customHeight="1">
      <c r="A30" s="256" t="s">
        <v>74</v>
      </c>
      <c r="B30" s="257"/>
      <c r="C30" s="467" t="s">
        <v>775</v>
      </c>
      <c r="D30" s="258">
        <f>SUM(D8,D17,D22,D23,D24,D25,D28)</f>
        <v>15396</v>
      </c>
      <c r="E30" s="258">
        <f t="shared" ref="E30:F30" si="3">SUM(E8,E17,E22,E23,E24,E25,E28)</f>
        <v>15292</v>
      </c>
      <c r="F30" s="258">
        <f t="shared" si="3"/>
        <v>15292</v>
      </c>
      <c r="G30" s="258">
        <f>F30/E30*100</f>
        <v>100</v>
      </c>
    </row>
    <row r="31" spans="1:10" s="177" customFormat="1" ht="15" customHeight="1">
      <c r="A31" s="449"/>
      <c r="B31" s="449"/>
      <c r="C31" s="468"/>
      <c r="D31" s="501"/>
      <c r="E31" s="501"/>
      <c r="F31" s="501"/>
      <c r="G31" s="501"/>
    </row>
    <row r="32" spans="1:10" s="165" customFormat="1" ht="15" customHeight="1">
      <c r="A32" s="256"/>
      <c r="B32" s="257"/>
      <c r="C32" s="500" t="s">
        <v>197</v>
      </c>
      <c r="D32" s="258"/>
      <c r="E32" s="258"/>
      <c r="F32" s="258"/>
      <c r="G32" s="258"/>
    </row>
    <row r="33" spans="1:7" s="221" customFormat="1" ht="15" customHeight="1">
      <c r="A33" s="170" t="s">
        <v>4</v>
      </c>
      <c r="B33" s="12"/>
      <c r="C33" s="67" t="s">
        <v>101</v>
      </c>
      <c r="D33" s="242">
        <f>SUM(D34:D38)</f>
        <v>15396</v>
      </c>
      <c r="E33" s="242">
        <f t="shared" ref="E33:F33" si="4">SUM(E34:E38)</f>
        <v>15292</v>
      </c>
      <c r="F33" s="242">
        <f t="shared" si="4"/>
        <v>15292</v>
      </c>
      <c r="G33" s="242">
        <f>F33/E33*100</f>
        <v>100</v>
      </c>
    </row>
    <row r="34" spans="1:7" ht="15" customHeight="1">
      <c r="A34" s="193"/>
      <c r="B34" s="220" t="s">
        <v>102</v>
      </c>
      <c r="C34" s="27" t="s">
        <v>103</v>
      </c>
      <c r="D34" s="250">
        <v>8407</v>
      </c>
      <c r="E34" s="250">
        <v>8407</v>
      </c>
      <c r="F34" s="250">
        <v>8407</v>
      </c>
      <c r="G34" s="250">
        <f>F34/E34*100</f>
        <v>100</v>
      </c>
    </row>
    <row r="35" spans="1:7" ht="15" customHeight="1">
      <c r="A35" s="174"/>
      <c r="B35" s="189" t="s">
        <v>104</v>
      </c>
      <c r="C35" s="15" t="s">
        <v>105</v>
      </c>
      <c r="D35" s="243">
        <v>2235</v>
      </c>
      <c r="E35" s="243">
        <v>2205</v>
      </c>
      <c r="F35" s="243">
        <v>2205</v>
      </c>
      <c r="G35" s="243">
        <f>F35/E35*100</f>
        <v>100</v>
      </c>
    </row>
    <row r="36" spans="1:7" ht="15" customHeight="1">
      <c r="A36" s="174"/>
      <c r="B36" s="189" t="s">
        <v>106</v>
      </c>
      <c r="C36" s="15" t="s">
        <v>107</v>
      </c>
      <c r="D36" s="243">
        <v>4754</v>
      </c>
      <c r="E36" s="243">
        <v>4680</v>
      </c>
      <c r="F36" s="243">
        <v>4680</v>
      </c>
      <c r="G36" s="243">
        <f>F36/E36*100</f>
        <v>100</v>
      </c>
    </row>
    <row r="37" spans="1:7" ht="15" customHeight="1">
      <c r="A37" s="174"/>
      <c r="B37" s="189" t="s">
        <v>108</v>
      </c>
      <c r="C37" s="15" t="s">
        <v>109</v>
      </c>
      <c r="D37" s="243"/>
      <c r="E37" s="243"/>
      <c r="F37" s="243"/>
      <c r="G37" s="243"/>
    </row>
    <row r="38" spans="1:7" ht="15" customHeight="1">
      <c r="A38" s="174"/>
      <c r="B38" s="189" t="s">
        <v>110</v>
      </c>
      <c r="C38" s="15" t="s">
        <v>111</v>
      </c>
      <c r="D38" s="243"/>
      <c r="E38" s="243"/>
      <c r="F38" s="243"/>
      <c r="G38" s="243"/>
    </row>
    <row r="39" spans="1:7" ht="15" customHeight="1">
      <c r="A39" s="170" t="s">
        <v>5</v>
      </c>
      <c r="B39" s="12"/>
      <c r="C39" s="67" t="s">
        <v>787</v>
      </c>
      <c r="D39" s="242">
        <f>SUM(D40:D43)</f>
        <v>0</v>
      </c>
      <c r="E39" s="242">
        <f t="shared" ref="E39:F39" si="5">SUM(E40:E43)</f>
        <v>0</v>
      </c>
      <c r="F39" s="242">
        <f t="shared" si="5"/>
        <v>0</v>
      </c>
      <c r="G39" s="242"/>
    </row>
    <row r="40" spans="1:7" s="221" customFormat="1" ht="15" customHeight="1">
      <c r="A40" s="193"/>
      <c r="B40" s="220" t="s">
        <v>6</v>
      </c>
      <c r="C40" s="27" t="s">
        <v>780</v>
      </c>
      <c r="D40" s="250"/>
      <c r="E40" s="250"/>
      <c r="F40" s="250"/>
      <c r="G40" s="250"/>
    </row>
    <row r="41" spans="1:7" ht="15" customHeight="1">
      <c r="A41" s="174"/>
      <c r="B41" s="189" t="s">
        <v>8</v>
      </c>
      <c r="C41" s="15" t="s">
        <v>134</v>
      </c>
      <c r="D41" s="243"/>
      <c r="E41" s="243"/>
      <c r="F41" s="243"/>
      <c r="G41" s="243"/>
    </row>
    <row r="42" spans="1:7" ht="31.5" customHeight="1">
      <c r="A42" s="174"/>
      <c r="B42" s="189" t="s">
        <v>14</v>
      </c>
      <c r="C42" s="15" t="s">
        <v>137</v>
      </c>
      <c r="D42" s="243"/>
      <c r="E42" s="243"/>
      <c r="F42" s="243"/>
      <c r="G42" s="243"/>
    </row>
    <row r="43" spans="1:7" ht="15" customHeight="1">
      <c r="A43" s="174"/>
      <c r="B43" s="189" t="s">
        <v>18</v>
      </c>
      <c r="C43" s="15" t="s">
        <v>781</v>
      </c>
      <c r="D43" s="243"/>
      <c r="E43" s="243"/>
      <c r="F43" s="243"/>
      <c r="G43" s="243"/>
    </row>
    <row r="44" spans="1:7" ht="15" customHeight="1">
      <c r="A44" s="170" t="s">
        <v>19</v>
      </c>
      <c r="B44" s="12"/>
      <c r="C44" s="67" t="s">
        <v>782</v>
      </c>
      <c r="D44" s="209"/>
      <c r="E44" s="209"/>
      <c r="F44" s="209"/>
      <c r="G44" s="209"/>
    </row>
    <row r="45" spans="1:7" s="177" customFormat="1" ht="15" customHeight="1">
      <c r="A45" s="170"/>
      <c r="B45" s="12"/>
      <c r="C45" s="67" t="s">
        <v>783</v>
      </c>
      <c r="D45" s="209"/>
      <c r="E45" s="209"/>
      <c r="F45" s="209"/>
      <c r="G45" s="209"/>
    </row>
    <row r="46" spans="1:7" ht="15" customHeight="1">
      <c r="A46" s="256" t="s">
        <v>149</v>
      </c>
      <c r="B46" s="257"/>
      <c r="C46" s="467" t="s">
        <v>784</v>
      </c>
      <c r="D46" s="258">
        <f>+D33+D39+D44</f>
        <v>15396</v>
      </c>
      <c r="E46" s="258">
        <f t="shared" ref="E46:F46" si="6">+E33+E39+E44</f>
        <v>15292</v>
      </c>
      <c r="F46" s="258">
        <f t="shared" si="6"/>
        <v>15292</v>
      </c>
      <c r="G46" s="258">
        <f>F46/E46*100</f>
        <v>100</v>
      </c>
    </row>
    <row r="47" spans="1:7" ht="15" customHeight="1">
      <c r="A47" s="230"/>
      <c r="B47" s="231"/>
      <c r="C47" s="231"/>
      <c r="D47" s="503"/>
      <c r="E47" s="503"/>
      <c r="F47" s="503"/>
      <c r="G47" s="503"/>
    </row>
    <row r="48" spans="1:7" ht="15" customHeight="1">
      <c r="A48" s="232" t="s">
        <v>289</v>
      </c>
      <c r="B48" s="233"/>
      <c r="C48" s="234"/>
      <c r="D48" s="469">
        <v>2</v>
      </c>
      <c r="E48" s="469">
        <v>2</v>
      </c>
      <c r="F48" s="469">
        <v>2</v>
      </c>
      <c r="G48" s="469"/>
    </row>
    <row r="49" spans="1:7" ht="15" customHeight="1">
      <c r="A49" s="232" t="s">
        <v>290</v>
      </c>
      <c r="B49" s="233"/>
      <c r="C49" s="234"/>
      <c r="D49" s="469"/>
      <c r="E49" s="469"/>
      <c r="F49" s="469"/>
      <c r="G49" s="469"/>
    </row>
    <row r="50" spans="1:7" ht="15">
      <c r="A50" s="504"/>
      <c r="B50" s="177"/>
      <c r="C50" s="177"/>
      <c r="D50" s="190"/>
      <c r="E50" s="190"/>
      <c r="F50" s="190"/>
      <c r="G50" s="190"/>
    </row>
    <row r="51" spans="1:7" ht="15">
      <c r="A51" s="504"/>
      <c r="B51" s="177"/>
      <c r="C51" s="177"/>
      <c r="D51" s="190"/>
      <c r="E51" s="190"/>
      <c r="F51" s="190"/>
      <c r="G51" s="190"/>
    </row>
    <row r="52" spans="1:7" ht="15">
      <c r="A52" s="504"/>
      <c r="B52" s="177"/>
      <c r="C52" s="177"/>
      <c r="D52" s="190"/>
      <c r="E52" s="190"/>
      <c r="F52" s="190"/>
      <c r="G52" s="190"/>
    </row>
    <row r="53" spans="1:7" ht="15">
      <c r="A53" s="504"/>
      <c r="B53" s="177"/>
      <c r="C53" s="177"/>
      <c r="D53" s="190"/>
      <c r="E53" s="190"/>
      <c r="F53" s="190"/>
      <c r="G53" s="190"/>
    </row>
    <row r="54" spans="1:7" ht="15">
      <c r="A54" s="504"/>
      <c r="B54" s="177"/>
      <c r="C54" s="177"/>
      <c r="D54" s="190"/>
      <c r="E54" s="190"/>
      <c r="F54" s="190"/>
      <c r="G54" s="190"/>
    </row>
    <row r="55" spans="1:7" ht="15">
      <c r="A55" s="504"/>
      <c r="B55" s="177"/>
      <c r="C55" s="177"/>
      <c r="D55" s="190"/>
      <c r="E55" s="190"/>
      <c r="F55" s="190"/>
      <c r="G55" s="190"/>
    </row>
    <row r="56" spans="1:7" ht="15">
      <c r="A56" s="504"/>
      <c r="B56" s="177"/>
      <c r="C56" s="177"/>
      <c r="D56" s="190"/>
      <c r="E56" s="190"/>
      <c r="F56" s="190"/>
      <c r="G56" s="190"/>
    </row>
    <row r="57" spans="1:7" ht="15">
      <c r="A57" s="504"/>
      <c r="B57" s="177"/>
      <c r="C57" s="177"/>
      <c r="D57" s="190"/>
      <c r="E57" s="190"/>
      <c r="F57" s="190"/>
      <c r="G57" s="190"/>
    </row>
    <row r="58" spans="1:7" ht="15">
      <c r="A58" s="504"/>
      <c r="B58" s="177"/>
      <c r="C58" s="177"/>
      <c r="D58" s="190"/>
      <c r="E58" s="190"/>
      <c r="F58" s="190"/>
      <c r="G58" s="190"/>
    </row>
    <row r="59" spans="1:7" ht="15">
      <c r="A59" s="504"/>
      <c r="B59" s="177"/>
      <c r="C59" s="177"/>
      <c r="D59" s="190"/>
      <c r="E59" s="190"/>
      <c r="F59" s="190"/>
      <c r="G59" s="190"/>
    </row>
    <row r="60" spans="1:7" ht="15">
      <c r="A60" s="504"/>
      <c r="B60" s="177"/>
      <c r="C60" s="177"/>
      <c r="D60" s="190"/>
      <c r="E60" s="190"/>
      <c r="F60" s="190"/>
      <c r="G60" s="190"/>
    </row>
    <row r="61" spans="1:7" ht="15">
      <c r="A61" s="504"/>
      <c r="B61" s="177"/>
      <c r="C61" s="177"/>
      <c r="D61" s="190"/>
      <c r="E61" s="190"/>
      <c r="F61" s="190"/>
      <c r="G61" s="190"/>
    </row>
    <row r="62" spans="1:7" ht="15">
      <c r="A62" s="504"/>
      <c r="B62" s="177"/>
      <c r="C62" s="177"/>
      <c r="D62" s="190"/>
      <c r="E62" s="190"/>
      <c r="F62" s="190"/>
      <c r="G62" s="190"/>
    </row>
    <row r="63" spans="1:7" ht="15">
      <c r="A63" s="504"/>
      <c r="B63" s="177"/>
      <c r="C63" s="177"/>
      <c r="D63" s="190"/>
      <c r="E63" s="190"/>
      <c r="F63" s="190"/>
      <c r="G63" s="190"/>
    </row>
    <row r="64" spans="1:7" ht="15">
      <c r="A64" s="504"/>
      <c r="B64" s="177"/>
      <c r="C64" s="177"/>
      <c r="D64" s="190"/>
      <c r="E64" s="190"/>
      <c r="F64" s="190"/>
      <c r="G64" s="190"/>
    </row>
    <row r="65" spans="1:7" ht="15">
      <c r="A65" s="504"/>
      <c r="B65" s="177"/>
      <c r="C65" s="177"/>
      <c r="D65" s="190"/>
      <c r="E65" s="190"/>
      <c r="F65" s="190"/>
      <c r="G65" s="190"/>
    </row>
    <row r="66" spans="1:7" ht="15">
      <c r="A66" s="504"/>
      <c r="B66" s="177"/>
      <c r="C66" s="177"/>
      <c r="D66" s="190"/>
      <c r="E66" s="190"/>
      <c r="F66" s="190"/>
      <c r="G66" s="190"/>
    </row>
    <row r="67" spans="1:7" ht="15">
      <c r="A67" s="504"/>
      <c r="B67" s="177"/>
      <c r="C67" s="177"/>
      <c r="D67" s="190"/>
      <c r="E67" s="190"/>
      <c r="F67" s="190"/>
      <c r="G67" s="190"/>
    </row>
    <row r="68" spans="1:7" ht="15">
      <c r="A68" s="504"/>
      <c r="B68" s="177"/>
      <c r="C68" s="177"/>
      <c r="D68" s="190"/>
      <c r="E68" s="190"/>
      <c r="F68" s="190"/>
      <c r="G68" s="190"/>
    </row>
    <row r="69" spans="1:7" ht="15">
      <c r="A69" s="504"/>
      <c r="B69" s="177"/>
      <c r="C69" s="177"/>
      <c r="D69" s="190"/>
      <c r="E69" s="190"/>
      <c r="F69" s="190"/>
      <c r="G69" s="190"/>
    </row>
    <row r="70" spans="1:7" ht="15">
      <c r="A70" s="504"/>
      <c r="B70" s="177"/>
      <c r="C70" s="177"/>
      <c r="D70" s="190"/>
      <c r="E70" s="190"/>
      <c r="F70" s="190"/>
      <c r="G70" s="190"/>
    </row>
    <row r="71" spans="1:7" ht="15">
      <c r="A71" s="504"/>
      <c r="B71" s="177"/>
      <c r="C71" s="177"/>
      <c r="D71" s="190"/>
      <c r="E71" s="190"/>
      <c r="F71" s="190"/>
      <c r="G71" s="190"/>
    </row>
    <row r="72" spans="1:7" ht="15">
      <c r="A72" s="504"/>
      <c r="B72" s="177"/>
      <c r="C72" s="177"/>
      <c r="D72" s="190"/>
      <c r="E72" s="190"/>
      <c r="F72" s="190"/>
      <c r="G72" s="190"/>
    </row>
    <row r="73" spans="1:7" ht="15">
      <c r="A73" s="504"/>
      <c r="B73" s="177"/>
      <c r="C73" s="177"/>
      <c r="D73" s="190"/>
      <c r="E73" s="190"/>
      <c r="F73" s="190"/>
      <c r="G73" s="190"/>
    </row>
    <row r="74" spans="1:7" ht="15">
      <c r="A74" s="504"/>
      <c r="B74" s="177"/>
      <c r="C74" s="177"/>
      <c r="D74" s="190"/>
      <c r="E74" s="190"/>
      <c r="F74" s="190"/>
      <c r="G74" s="190"/>
    </row>
    <row r="75" spans="1:7" ht="15">
      <c r="A75" s="504"/>
      <c r="B75" s="177"/>
      <c r="C75" s="177"/>
      <c r="D75" s="190"/>
      <c r="E75" s="190"/>
      <c r="F75" s="190"/>
      <c r="G75" s="190"/>
    </row>
    <row r="76" spans="1:7" ht="15">
      <c r="A76" s="504"/>
      <c r="B76" s="177"/>
      <c r="C76" s="177"/>
      <c r="D76" s="190"/>
      <c r="E76" s="190"/>
      <c r="F76" s="190"/>
      <c r="G76" s="190"/>
    </row>
    <row r="77" spans="1:7" ht="15">
      <c r="A77" s="504"/>
      <c r="B77" s="177"/>
      <c r="C77" s="177"/>
      <c r="D77" s="190"/>
      <c r="E77" s="190"/>
      <c r="F77" s="190"/>
      <c r="G77" s="190"/>
    </row>
    <row r="78" spans="1:7" ht="15">
      <c r="A78" s="504"/>
      <c r="B78" s="177"/>
      <c r="C78" s="177"/>
      <c r="D78" s="190"/>
      <c r="E78" s="190"/>
      <c r="F78" s="190"/>
      <c r="G78" s="190"/>
    </row>
    <row r="79" spans="1:7" ht="15">
      <c r="A79" s="504"/>
      <c r="B79" s="177"/>
      <c r="C79" s="177"/>
      <c r="D79" s="190"/>
      <c r="E79" s="190"/>
      <c r="F79" s="190"/>
      <c r="G79" s="190"/>
    </row>
    <row r="80" spans="1:7" ht="15">
      <c r="A80" s="504"/>
      <c r="B80" s="177"/>
      <c r="C80" s="177"/>
      <c r="D80" s="190"/>
      <c r="E80" s="190"/>
      <c r="F80" s="190"/>
      <c r="G80" s="190"/>
    </row>
    <row r="81" spans="1:7" ht="15">
      <c r="A81" s="504"/>
      <c r="B81" s="177"/>
      <c r="C81" s="177"/>
      <c r="D81" s="190"/>
      <c r="E81" s="190"/>
      <c r="F81" s="190"/>
      <c r="G81" s="190"/>
    </row>
    <row r="82" spans="1:7" ht="15">
      <c r="A82" s="504"/>
      <c r="B82" s="177"/>
      <c r="C82" s="177"/>
      <c r="D82" s="190"/>
      <c r="E82" s="190"/>
      <c r="F82" s="190"/>
      <c r="G82" s="190"/>
    </row>
    <row r="83" spans="1:7" ht="15">
      <c r="A83" s="504"/>
      <c r="B83" s="177"/>
      <c r="C83" s="177"/>
      <c r="D83" s="190"/>
      <c r="E83" s="190"/>
      <c r="F83" s="190"/>
      <c r="G83" s="190"/>
    </row>
    <row r="84" spans="1:7" ht="15">
      <c r="A84" s="504"/>
      <c r="B84" s="177"/>
      <c r="C84" s="177"/>
      <c r="D84" s="190"/>
      <c r="E84" s="190"/>
      <c r="F84" s="190"/>
      <c r="G84" s="190"/>
    </row>
    <row r="85" spans="1:7" ht="15">
      <c r="A85" s="504"/>
      <c r="B85" s="177"/>
      <c r="C85" s="177"/>
      <c r="D85" s="190"/>
      <c r="E85" s="190"/>
      <c r="F85" s="190"/>
      <c r="G85" s="190"/>
    </row>
    <row r="86" spans="1:7" ht="15">
      <c r="A86" s="504"/>
      <c r="B86" s="177"/>
      <c r="C86" s="177"/>
      <c r="D86" s="190"/>
      <c r="E86" s="190"/>
      <c r="F86" s="190"/>
      <c r="G86" s="190"/>
    </row>
    <row r="87" spans="1:7" ht="15">
      <c r="A87" s="504"/>
      <c r="B87" s="177"/>
      <c r="C87" s="177"/>
      <c r="D87" s="190"/>
      <c r="E87" s="190"/>
      <c r="F87" s="190"/>
      <c r="G87" s="190"/>
    </row>
    <row r="88" spans="1:7" ht="15">
      <c r="A88" s="504"/>
      <c r="B88" s="177"/>
      <c r="C88" s="177"/>
      <c r="D88" s="190"/>
      <c r="E88" s="190"/>
      <c r="F88" s="190"/>
      <c r="G88" s="190"/>
    </row>
    <row r="89" spans="1:7" ht="15">
      <c r="A89" s="504"/>
      <c r="B89" s="177"/>
      <c r="C89" s="177"/>
      <c r="D89" s="190"/>
      <c r="E89" s="190"/>
      <c r="F89" s="190"/>
      <c r="G89" s="190"/>
    </row>
    <row r="90" spans="1:7" ht="15">
      <c r="A90" s="504"/>
      <c r="B90" s="177"/>
      <c r="C90" s="177"/>
      <c r="D90" s="190"/>
      <c r="E90" s="190"/>
      <c r="F90" s="190"/>
      <c r="G90" s="190"/>
    </row>
    <row r="91" spans="1:7" ht="15">
      <c r="A91" s="504"/>
      <c r="B91" s="177"/>
      <c r="C91" s="177"/>
      <c r="D91" s="190"/>
      <c r="E91" s="190"/>
      <c r="F91" s="190"/>
      <c r="G91" s="190"/>
    </row>
    <row r="92" spans="1:7" ht="15">
      <c r="A92" s="504"/>
      <c r="B92" s="177"/>
      <c r="C92" s="177"/>
      <c r="D92" s="190"/>
      <c r="E92" s="190"/>
      <c r="F92" s="190"/>
      <c r="G92" s="190"/>
    </row>
    <row r="93" spans="1:7" ht="15">
      <c r="A93" s="504"/>
      <c r="B93" s="177"/>
      <c r="C93" s="177"/>
      <c r="D93" s="190"/>
      <c r="E93" s="190"/>
      <c r="F93" s="190"/>
      <c r="G93" s="190"/>
    </row>
    <row r="94" spans="1:7" ht="15">
      <c r="A94" s="504"/>
      <c r="B94" s="177"/>
      <c r="C94" s="177"/>
      <c r="D94" s="190"/>
      <c r="E94" s="190"/>
      <c r="F94" s="190"/>
      <c r="G94" s="190"/>
    </row>
    <row r="95" spans="1:7" ht="15">
      <c r="A95" s="504"/>
      <c r="B95" s="177"/>
      <c r="C95" s="177"/>
      <c r="D95" s="190"/>
      <c r="E95" s="190"/>
      <c r="F95" s="190"/>
      <c r="G95" s="190"/>
    </row>
    <row r="96" spans="1:7" ht="15">
      <c r="A96" s="504"/>
      <c r="B96" s="177"/>
      <c r="C96" s="177"/>
      <c r="D96" s="190"/>
      <c r="E96" s="190"/>
      <c r="F96" s="190"/>
      <c r="G96" s="190"/>
    </row>
    <row r="97" spans="1:7" ht="15">
      <c r="A97" s="504"/>
      <c r="B97" s="177"/>
      <c r="C97" s="177"/>
      <c r="D97" s="190"/>
      <c r="E97" s="190"/>
      <c r="F97" s="190"/>
      <c r="G97" s="190"/>
    </row>
    <row r="98" spans="1:7" ht="15">
      <c r="A98" s="504"/>
      <c r="B98" s="177"/>
      <c r="C98" s="177"/>
      <c r="D98" s="190"/>
      <c r="E98" s="190"/>
      <c r="F98" s="190"/>
      <c r="G98" s="190"/>
    </row>
    <row r="99" spans="1:7" ht="15">
      <c r="A99" s="504"/>
      <c r="B99" s="177"/>
      <c r="C99" s="177"/>
      <c r="D99" s="190"/>
      <c r="E99" s="190"/>
      <c r="F99" s="190"/>
      <c r="G99" s="190"/>
    </row>
    <row r="100" spans="1:7" ht="15">
      <c r="A100" s="504"/>
      <c r="B100" s="177"/>
      <c r="C100" s="177"/>
      <c r="D100" s="190"/>
      <c r="E100" s="190"/>
      <c r="F100" s="190"/>
      <c r="G100" s="190"/>
    </row>
    <row r="101" spans="1:7" ht="15">
      <c r="A101" s="504"/>
      <c r="B101" s="177"/>
      <c r="C101" s="177"/>
      <c r="D101" s="190"/>
      <c r="E101" s="190"/>
      <c r="F101" s="190"/>
      <c r="G101" s="190"/>
    </row>
    <row r="102" spans="1:7" ht="15">
      <c r="A102" s="504"/>
      <c r="B102" s="177"/>
      <c r="C102" s="177"/>
      <c r="D102" s="190"/>
      <c r="E102" s="190"/>
      <c r="F102" s="190"/>
      <c r="G102" s="190"/>
    </row>
    <row r="103" spans="1:7" ht="15">
      <c r="A103" s="504"/>
      <c r="B103" s="177"/>
      <c r="C103" s="177"/>
      <c r="D103" s="190"/>
      <c r="E103" s="190"/>
      <c r="F103" s="190"/>
      <c r="G103" s="190"/>
    </row>
    <row r="104" spans="1:7" ht="15">
      <c r="A104" s="504"/>
      <c r="B104" s="177"/>
      <c r="C104" s="177"/>
      <c r="D104" s="190"/>
      <c r="E104" s="190"/>
      <c r="F104" s="190"/>
      <c r="G104" s="190"/>
    </row>
    <row r="105" spans="1:7" ht="15">
      <c r="A105" s="504"/>
      <c r="B105" s="177"/>
      <c r="C105" s="177"/>
      <c r="D105" s="190"/>
      <c r="E105" s="190"/>
      <c r="F105" s="190"/>
      <c r="G105" s="190"/>
    </row>
    <row r="106" spans="1:7" ht="15">
      <c r="A106" s="504"/>
      <c r="B106" s="177"/>
      <c r="C106" s="177"/>
      <c r="D106" s="190"/>
      <c r="E106" s="190"/>
      <c r="F106" s="190"/>
      <c r="G106" s="190"/>
    </row>
    <row r="107" spans="1:7" ht="15">
      <c r="A107" s="504"/>
      <c r="B107" s="177"/>
      <c r="C107" s="177"/>
      <c r="D107" s="190"/>
      <c r="E107" s="190"/>
      <c r="F107" s="190"/>
      <c r="G107" s="190"/>
    </row>
    <row r="108" spans="1:7" ht="15">
      <c r="A108" s="504"/>
      <c r="B108" s="177"/>
      <c r="C108" s="177"/>
      <c r="D108" s="190"/>
      <c r="E108" s="190"/>
      <c r="F108" s="190"/>
      <c r="G108" s="190"/>
    </row>
    <row r="109" spans="1:7" ht="15">
      <c r="A109" s="504"/>
      <c r="B109" s="177"/>
      <c r="C109" s="177"/>
      <c r="D109" s="190"/>
      <c r="E109" s="190"/>
      <c r="F109" s="190"/>
      <c r="G109" s="190"/>
    </row>
    <row r="110" spans="1:7" ht="15">
      <c r="A110" s="504"/>
      <c r="B110" s="177"/>
      <c r="C110" s="177"/>
      <c r="D110" s="190"/>
      <c r="E110" s="190"/>
      <c r="F110" s="190"/>
      <c r="G110" s="190"/>
    </row>
    <row r="111" spans="1:7" ht="15">
      <c r="A111" s="504"/>
      <c r="B111" s="177"/>
      <c r="C111" s="177"/>
      <c r="D111" s="190"/>
      <c r="E111" s="190"/>
      <c r="F111" s="190"/>
      <c r="G111" s="190"/>
    </row>
    <row r="112" spans="1:7" ht="15">
      <c r="A112" s="504"/>
      <c r="B112" s="177"/>
      <c r="C112" s="177"/>
      <c r="D112" s="190"/>
      <c r="E112" s="190"/>
      <c r="F112" s="190"/>
      <c r="G112" s="190"/>
    </row>
    <row r="113" spans="1:7" ht="15">
      <c r="A113" s="504"/>
      <c r="B113" s="177"/>
      <c r="C113" s="177"/>
      <c r="D113" s="190"/>
      <c r="E113" s="190"/>
      <c r="F113" s="190"/>
      <c r="G113" s="190"/>
    </row>
    <row r="114" spans="1:7" ht="15">
      <c r="A114" s="504"/>
      <c r="B114" s="177"/>
      <c r="C114" s="177"/>
      <c r="D114" s="190"/>
      <c r="E114" s="190"/>
      <c r="F114" s="190"/>
      <c r="G114" s="190"/>
    </row>
    <row r="115" spans="1:7" ht="15">
      <c r="A115" s="504"/>
      <c r="B115" s="177"/>
      <c r="C115" s="177"/>
      <c r="D115" s="190"/>
      <c r="E115" s="190"/>
      <c r="F115" s="190"/>
      <c r="G115" s="190"/>
    </row>
    <row r="116" spans="1:7" ht="15">
      <c r="A116" s="504"/>
      <c r="B116" s="177"/>
      <c r="C116" s="177"/>
      <c r="D116" s="190"/>
      <c r="E116" s="190"/>
      <c r="F116" s="190"/>
      <c r="G116" s="190"/>
    </row>
    <row r="117" spans="1:7" ht="15">
      <c r="A117" s="504"/>
      <c r="B117" s="177"/>
      <c r="C117" s="177"/>
      <c r="D117" s="190"/>
      <c r="E117" s="190"/>
      <c r="F117" s="190"/>
      <c r="G117" s="190"/>
    </row>
    <row r="118" spans="1:7" ht="15">
      <c r="A118" s="504"/>
      <c r="B118" s="177"/>
      <c r="C118" s="177"/>
      <c r="D118" s="190"/>
      <c r="E118" s="190"/>
      <c r="F118" s="190"/>
      <c r="G118" s="190"/>
    </row>
    <row r="119" spans="1:7" ht="15">
      <c r="A119" s="504"/>
      <c r="B119" s="177"/>
      <c r="C119" s="177"/>
      <c r="D119" s="190"/>
      <c r="E119" s="190"/>
      <c r="F119" s="190"/>
      <c r="G119" s="190"/>
    </row>
    <row r="120" spans="1:7" ht="15">
      <c r="A120" s="504"/>
      <c r="B120" s="177"/>
      <c r="C120" s="177"/>
      <c r="D120" s="190"/>
      <c r="E120" s="190"/>
      <c r="F120" s="190"/>
      <c r="G120" s="190"/>
    </row>
    <row r="121" spans="1:7" ht="15">
      <c r="A121" s="504"/>
      <c r="B121" s="177"/>
      <c r="C121" s="177"/>
      <c r="D121" s="190"/>
      <c r="E121" s="190"/>
      <c r="F121" s="190"/>
      <c r="G121" s="190"/>
    </row>
    <row r="122" spans="1:7" ht="15">
      <c r="A122" s="504"/>
      <c r="B122" s="177"/>
      <c r="C122" s="177"/>
      <c r="D122" s="190"/>
      <c r="E122" s="190"/>
      <c r="F122" s="190"/>
      <c r="G122" s="190"/>
    </row>
    <row r="123" spans="1:7" ht="15">
      <c r="A123" s="504"/>
      <c r="B123" s="177"/>
      <c r="C123" s="177"/>
      <c r="D123" s="190"/>
      <c r="E123" s="190"/>
      <c r="F123" s="190"/>
      <c r="G123" s="190"/>
    </row>
    <row r="124" spans="1:7" ht="15">
      <c r="A124" s="504"/>
      <c r="B124" s="177"/>
      <c r="C124" s="177"/>
      <c r="D124" s="190"/>
      <c r="E124" s="190"/>
      <c r="F124" s="190"/>
      <c r="G124" s="190"/>
    </row>
    <row r="125" spans="1:7" ht="15">
      <c r="A125" s="504"/>
      <c r="B125" s="177"/>
      <c r="C125" s="177"/>
      <c r="D125" s="190"/>
      <c r="E125" s="190"/>
      <c r="F125" s="190"/>
      <c r="G125" s="190"/>
    </row>
    <row r="126" spans="1:7" ht="15">
      <c r="A126" s="504"/>
      <c r="B126" s="177"/>
      <c r="C126" s="177"/>
      <c r="D126" s="190"/>
      <c r="E126" s="190"/>
      <c r="F126" s="190"/>
      <c r="G126" s="190"/>
    </row>
    <row r="127" spans="1:7" ht="15">
      <c r="A127" s="504"/>
      <c r="B127" s="177"/>
      <c r="C127" s="177"/>
      <c r="D127" s="190"/>
      <c r="E127" s="190"/>
      <c r="F127" s="190"/>
      <c r="G127" s="190"/>
    </row>
    <row r="128" spans="1:7" ht="15">
      <c r="A128" s="504"/>
      <c r="B128" s="177"/>
      <c r="C128" s="177"/>
      <c r="D128" s="190"/>
      <c r="E128" s="190"/>
      <c r="F128" s="190"/>
      <c r="G128" s="190"/>
    </row>
    <row r="129" spans="1:7" ht="15">
      <c r="A129" s="504"/>
      <c r="B129" s="177"/>
      <c r="C129" s="177"/>
      <c r="D129" s="190"/>
      <c r="E129" s="190"/>
      <c r="F129" s="190"/>
      <c r="G129" s="190"/>
    </row>
    <row r="130" spans="1:7" ht="15">
      <c r="A130" s="504"/>
      <c r="B130" s="177"/>
      <c r="C130" s="177"/>
      <c r="D130" s="190"/>
      <c r="E130" s="190"/>
      <c r="F130" s="190"/>
      <c r="G130" s="190"/>
    </row>
    <row r="131" spans="1:7" ht="15">
      <c r="A131" s="504"/>
      <c r="B131" s="177"/>
      <c r="C131" s="177"/>
      <c r="D131" s="190"/>
      <c r="E131" s="190"/>
      <c r="F131" s="190"/>
      <c r="G131" s="190"/>
    </row>
    <row r="132" spans="1:7" ht="15">
      <c r="A132" s="504"/>
      <c r="B132" s="177"/>
      <c r="C132" s="177"/>
      <c r="D132" s="190"/>
      <c r="E132" s="190"/>
      <c r="F132" s="190"/>
      <c r="G132" s="190"/>
    </row>
    <row r="133" spans="1:7" ht="15">
      <c r="A133" s="504"/>
      <c r="B133" s="177"/>
      <c r="C133" s="177"/>
      <c r="D133" s="190"/>
      <c r="E133" s="190"/>
      <c r="F133" s="190"/>
      <c r="G133" s="190"/>
    </row>
    <row r="134" spans="1:7" ht="15">
      <c r="A134" s="504"/>
      <c r="B134" s="177"/>
      <c r="C134" s="177"/>
      <c r="D134" s="190"/>
      <c r="E134" s="190"/>
      <c r="F134" s="190"/>
      <c r="G134" s="190"/>
    </row>
    <row r="135" spans="1:7" ht="15">
      <c r="A135" s="504"/>
      <c r="B135" s="177"/>
      <c r="C135" s="177"/>
      <c r="D135" s="190"/>
      <c r="E135" s="190"/>
      <c r="F135" s="190"/>
      <c r="G135" s="190"/>
    </row>
    <row r="136" spans="1:7" ht="15">
      <c r="A136" s="504"/>
      <c r="B136" s="177"/>
      <c r="C136" s="177"/>
      <c r="D136" s="190"/>
      <c r="E136" s="190"/>
      <c r="F136" s="190"/>
      <c r="G136" s="190"/>
    </row>
    <row r="137" spans="1:7" ht="15">
      <c r="A137" s="504"/>
      <c r="B137" s="177"/>
      <c r="C137" s="177"/>
      <c r="D137" s="190"/>
      <c r="E137" s="190"/>
      <c r="F137" s="190"/>
      <c r="G137" s="190"/>
    </row>
    <row r="138" spans="1:7" ht="15">
      <c r="A138" s="504"/>
      <c r="B138" s="177"/>
      <c r="C138" s="177"/>
      <c r="D138" s="190"/>
      <c r="E138" s="190"/>
      <c r="F138" s="190"/>
      <c r="G138" s="190"/>
    </row>
    <row r="139" spans="1:7" ht="15">
      <c r="A139" s="504"/>
      <c r="B139" s="177"/>
      <c r="C139" s="177"/>
      <c r="D139" s="190"/>
      <c r="E139" s="190"/>
      <c r="F139" s="190"/>
      <c r="G139" s="190"/>
    </row>
    <row r="140" spans="1:7" ht="15">
      <c r="A140" s="504"/>
      <c r="B140" s="177"/>
      <c r="C140" s="177"/>
      <c r="D140" s="190"/>
      <c r="E140" s="190"/>
      <c r="F140" s="190"/>
      <c r="G140" s="190"/>
    </row>
    <row r="141" spans="1:7" ht="15">
      <c r="A141" s="504"/>
      <c r="B141" s="177"/>
      <c r="C141" s="177"/>
      <c r="D141" s="190"/>
      <c r="E141" s="190"/>
      <c r="F141" s="190"/>
      <c r="G141" s="190"/>
    </row>
    <row r="142" spans="1:7" ht="15">
      <c r="A142" s="504"/>
      <c r="B142" s="177"/>
      <c r="C142" s="177"/>
      <c r="D142" s="190"/>
      <c r="E142" s="190"/>
      <c r="F142" s="190"/>
      <c r="G142" s="190"/>
    </row>
    <row r="143" spans="1:7" ht="15">
      <c r="A143" s="504"/>
      <c r="B143" s="177"/>
      <c r="C143" s="177"/>
      <c r="D143" s="190"/>
      <c r="E143" s="190"/>
      <c r="F143" s="190"/>
      <c r="G143" s="190"/>
    </row>
    <row r="144" spans="1:7" ht="15">
      <c r="A144" s="504"/>
      <c r="B144" s="177"/>
      <c r="C144" s="177"/>
      <c r="D144" s="190"/>
      <c r="E144" s="190"/>
      <c r="F144" s="190"/>
      <c r="G144" s="190"/>
    </row>
    <row r="145" spans="1:7" ht="15">
      <c r="A145" s="504"/>
      <c r="B145" s="177"/>
      <c r="C145" s="177"/>
      <c r="D145" s="190"/>
      <c r="E145" s="190"/>
      <c r="F145" s="190"/>
      <c r="G145" s="190"/>
    </row>
    <row r="146" spans="1:7" ht="15">
      <c r="A146" s="504"/>
      <c r="B146" s="177"/>
      <c r="C146" s="177"/>
      <c r="D146" s="190"/>
      <c r="E146" s="190"/>
      <c r="F146" s="190"/>
      <c r="G146" s="190"/>
    </row>
    <row r="147" spans="1:7">
      <c r="D147" s="219"/>
      <c r="E147" s="219"/>
      <c r="F147" s="219"/>
      <c r="G147" s="219"/>
    </row>
    <row r="148" spans="1:7">
      <c r="D148" s="219"/>
      <c r="E148" s="219"/>
      <c r="F148" s="219"/>
      <c r="G148" s="219"/>
    </row>
    <row r="149" spans="1:7">
      <c r="D149" s="219"/>
      <c r="E149" s="219"/>
      <c r="F149" s="219"/>
      <c r="G149" s="219"/>
    </row>
    <row r="150" spans="1:7">
      <c r="D150" s="219"/>
      <c r="E150" s="219"/>
      <c r="F150" s="219"/>
      <c r="G150" s="219"/>
    </row>
    <row r="151" spans="1:7">
      <c r="D151" s="219"/>
      <c r="E151" s="219"/>
      <c r="F151" s="219"/>
      <c r="G151" s="219"/>
    </row>
    <row r="152" spans="1:7">
      <c r="D152" s="219"/>
      <c r="E152" s="219"/>
      <c r="F152" s="219"/>
      <c r="G152" s="219"/>
    </row>
    <row r="153" spans="1:7">
      <c r="D153" s="219"/>
      <c r="E153" s="219"/>
      <c r="F153" s="219"/>
      <c r="G153" s="219"/>
    </row>
    <row r="154" spans="1:7">
      <c r="D154" s="219"/>
      <c r="E154" s="219"/>
      <c r="F154" s="219"/>
      <c r="G154" s="219"/>
    </row>
    <row r="155" spans="1:7">
      <c r="D155" s="219"/>
      <c r="E155" s="219"/>
      <c r="F155" s="219"/>
      <c r="G155" s="219"/>
    </row>
    <row r="156" spans="1:7">
      <c r="D156" s="219"/>
      <c r="E156" s="219"/>
      <c r="F156" s="219"/>
      <c r="G156" s="219"/>
    </row>
    <row r="157" spans="1:7">
      <c r="D157" s="219"/>
      <c r="E157" s="219"/>
      <c r="F157" s="219"/>
      <c r="G157" s="219"/>
    </row>
    <row r="158" spans="1:7">
      <c r="D158" s="219"/>
      <c r="E158" s="219"/>
      <c r="F158" s="219"/>
      <c r="G158" s="219"/>
    </row>
    <row r="159" spans="1:7">
      <c r="D159" s="219"/>
      <c r="E159" s="219"/>
      <c r="F159" s="219"/>
      <c r="G159" s="219"/>
    </row>
    <row r="160" spans="1:7">
      <c r="D160" s="219"/>
      <c r="E160" s="219"/>
      <c r="F160" s="219"/>
      <c r="G160" s="219"/>
    </row>
    <row r="161" spans="4:7">
      <c r="D161" s="219"/>
      <c r="E161" s="219"/>
      <c r="F161" s="219"/>
      <c r="G161" s="219"/>
    </row>
    <row r="162" spans="4:7">
      <c r="D162" s="219"/>
      <c r="E162" s="219"/>
      <c r="F162" s="219"/>
      <c r="G162" s="219"/>
    </row>
    <row r="163" spans="4:7">
      <c r="D163" s="219"/>
      <c r="E163" s="219"/>
      <c r="F163" s="219"/>
      <c r="G163" s="219"/>
    </row>
    <row r="164" spans="4:7">
      <c r="D164" s="219"/>
      <c r="E164" s="219"/>
      <c r="F164" s="219"/>
      <c r="G164" s="219"/>
    </row>
    <row r="165" spans="4:7">
      <c r="D165" s="219"/>
      <c r="E165" s="219"/>
      <c r="F165" s="219"/>
      <c r="G165" s="219"/>
    </row>
    <row r="166" spans="4:7">
      <c r="D166" s="219"/>
      <c r="E166" s="219"/>
      <c r="F166" s="219"/>
      <c r="G166" s="219"/>
    </row>
    <row r="167" spans="4:7">
      <c r="D167" s="219"/>
      <c r="E167" s="219"/>
      <c r="F167" s="219"/>
      <c r="G167" s="219"/>
    </row>
    <row r="168" spans="4:7">
      <c r="D168" s="219"/>
      <c r="E168" s="219"/>
      <c r="F168" s="219"/>
      <c r="G168" s="219"/>
    </row>
    <row r="169" spans="4:7">
      <c r="D169" s="219"/>
      <c r="E169" s="219"/>
      <c r="F169" s="219"/>
      <c r="G169" s="219"/>
    </row>
    <row r="170" spans="4:7">
      <c r="D170" s="219"/>
      <c r="E170" s="219"/>
      <c r="F170" s="219"/>
      <c r="G170" s="219"/>
    </row>
    <row r="171" spans="4:7">
      <c r="D171" s="219"/>
      <c r="E171" s="219"/>
      <c r="F171" s="219"/>
      <c r="G171" s="219"/>
    </row>
    <row r="172" spans="4:7">
      <c r="D172" s="219"/>
      <c r="E172" s="219"/>
      <c r="F172" s="219"/>
      <c r="G172" s="219"/>
    </row>
    <row r="173" spans="4:7">
      <c r="D173" s="219"/>
      <c r="E173" s="219"/>
      <c r="F173" s="219"/>
      <c r="G173" s="219"/>
    </row>
    <row r="174" spans="4:7">
      <c r="D174" s="219"/>
      <c r="E174" s="219"/>
      <c r="F174" s="219"/>
      <c r="G174" s="219"/>
    </row>
    <row r="175" spans="4:7">
      <c r="D175" s="219"/>
      <c r="E175" s="219"/>
      <c r="F175" s="219"/>
      <c r="G175" s="219"/>
    </row>
    <row r="176" spans="4:7">
      <c r="D176" s="219"/>
      <c r="E176" s="219"/>
      <c r="F176" s="219"/>
      <c r="G176" s="219"/>
    </row>
    <row r="177" spans="4:7">
      <c r="D177" s="219"/>
      <c r="E177" s="219"/>
      <c r="F177" s="219"/>
      <c r="G177" s="219"/>
    </row>
  </sheetData>
  <sheetProtection selectLockedCells="1" selectUnlockedCells="1"/>
  <mergeCells count="5">
    <mergeCell ref="D1:G1"/>
    <mergeCell ref="A2:B2"/>
    <mergeCell ref="A3:B3"/>
    <mergeCell ref="A5:B5"/>
    <mergeCell ref="D4:G4"/>
  </mergeCells>
  <printOptions horizontalCentered="1"/>
  <pageMargins left="0.31496062992125984" right="0.31496062992125984" top="0.43307086614173229" bottom="0.39370078740157483" header="0.51181102362204722" footer="0.15748031496062992"/>
  <pageSetup paperSize="9" scale="78" firstPageNumber="55" orientation="portrait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topLeftCell="B25" zoomScaleNormal="130" workbookViewId="0">
      <selection activeCell="E25" sqref="E1:H1048576"/>
    </sheetView>
  </sheetViews>
  <sheetFormatPr defaultRowHeight="12.75"/>
  <cols>
    <col min="1" max="1" width="6.6640625" style="151" customWidth="1"/>
    <col min="2" max="2" width="9.6640625" style="152" customWidth="1"/>
    <col min="3" max="3" width="66.33203125" style="152" customWidth="1"/>
    <col min="4" max="4" width="16.1640625" style="152" customWidth="1"/>
    <col min="5" max="6" width="15.33203125" style="152" customWidth="1"/>
    <col min="7" max="7" width="10.1640625" style="152" customWidth="1"/>
    <col min="8" max="16384" width="9.33203125" style="152"/>
  </cols>
  <sheetData>
    <row r="1" spans="1:7" s="436" customFormat="1" ht="21" customHeight="1">
      <c r="A1" s="495"/>
      <c r="B1" s="496"/>
      <c r="C1" s="497"/>
      <c r="D1" s="1944" t="s">
        <v>796</v>
      </c>
      <c r="E1" s="1944"/>
      <c r="F1" s="1944"/>
      <c r="G1" s="1944"/>
    </row>
    <row r="2" spans="1:7" s="155" customFormat="1" ht="33" customHeight="1">
      <c r="A2" s="1901" t="s">
        <v>760</v>
      </c>
      <c r="B2" s="1901"/>
      <c r="C2" s="153" t="s">
        <v>761</v>
      </c>
      <c r="D2" s="456"/>
      <c r="E2" s="456"/>
      <c r="F2" s="456"/>
      <c r="G2" s="456"/>
    </row>
    <row r="3" spans="1:7" s="155" customFormat="1" ht="33" customHeight="1" thickBot="1">
      <c r="A3" s="1899" t="s">
        <v>258</v>
      </c>
      <c r="B3" s="1899"/>
      <c r="C3" s="156" t="s">
        <v>797</v>
      </c>
      <c r="D3" s="437"/>
      <c r="E3" s="437"/>
      <c r="F3" s="437"/>
      <c r="G3" s="437"/>
    </row>
    <row r="4" spans="1:7" s="159" customFormat="1" ht="15.95" customHeight="1" thickBot="1">
      <c r="A4" s="157"/>
      <c r="B4" s="157"/>
      <c r="C4" s="157"/>
      <c r="D4" s="1908" t="s">
        <v>194</v>
      </c>
      <c r="E4" s="1908"/>
      <c r="F4" s="1908"/>
      <c r="G4" s="1908"/>
    </row>
    <row r="5" spans="1:7" ht="30.75" customHeight="1" thickBo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7" s="165" customFormat="1" ht="15" customHeight="1">
      <c r="A6" s="160">
        <v>1</v>
      </c>
      <c r="B6" s="163">
        <v>2</v>
      </c>
      <c r="C6" s="163">
        <v>3</v>
      </c>
      <c r="D6" s="164">
        <v>4</v>
      </c>
      <c r="E6" s="164">
        <v>5</v>
      </c>
      <c r="F6" s="164">
        <v>6</v>
      </c>
      <c r="G6" s="164">
        <v>7</v>
      </c>
    </row>
    <row r="7" spans="1:7" s="165" customFormat="1" ht="15.95" customHeight="1">
      <c r="A7" s="256"/>
      <c r="B7" s="257"/>
      <c r="C7" s="500" t="s">
        <v>196</v>
      </c>
      <c r="D7" s="258"/>
      <c r="E7" s="258"/>
      <c r="F7" s="258"/>
      <c r="G7" s="258"/>
    </row>
    <row r="8" spans="1:7" s="173" customFormat="1" ht="15" customHeight="1">
      <c r="A8" s="170" t="s">
        <v>4</v>
      </c>
      <c r="B8" s="171"/>
      <c r="C8" s="172" t="s">
        <v>762</v>
      </c>
      <c r="D8" s="111">
        <f>SUM(D9:D16)</f>
        <v>0</v>
      </c>
      <c r="E8" s="111">
        <f t="shared" ref="E8:F8" si="0">SUM(E9:E16)</f>
        <v>0</v>
      </c>
      <c r="F8" s="111">
        <f t="shared" si="0"/>
        <v>0</v>
      </c>
      <c r="G8" s="111"/>
    </row>
    <row r="9" spans="1:7" s="173" customFormat="1" ht="15" customHeight="1">
      <c r="A9" s="181"/>
      <c r="B9" s="175" t="s">
        <v>102</v>
      </c>
      <c r="C9" s="19" t="s">
        <v>22</v>
      </c>
      <c r="D9" s="245"/>
      <c r="E9" s="245"/>
      <c r="F9" s="245"/>
      <c r="G9" s="245"/>
    </row>
    <row r="10" spans="1:7" s="173" customFormat="1" ht="15" customHeight="1">
      <c r="A10" s="174"/>
      <c r="B10" s="175" t="s">
        <v>104</v>
      </c>
      <c r="C10" s="15" t="s">
        <v>24</v>
      </c>
      <c r="D10" s="243"/>
      <c r="E10" s="243"/>
      <c r="F10" s="243"/>
      <c r="G10" s="243"/>
    </row>
    <row r="11" spans="1:7" s="173" customFormat="1" ht="15" customHeight="1">
      <c r="A11" s="174"/>
      <c r="B11" s="175" t="s">
        <v>106</v>
      </c>
      <c r="C11" s="15" t="s">
        <v>26</v>
      </c>
      <c r="D11" s="243"/>
      <c r="E11" s="243"/>
      <c r="F11" s="243"/>
      <c r="G11" s="243"/>
    </row>
    <row r="12" spans="1:7" s="173" customFormat="1" ht="15" customHeight="1">
      <c r="A12" s="174"/>
      <c r="B12" s="175" t="s">
        <v>108</v>
      </c>
      <c r="C12" s="15" t="s">
        <v>28</v>
      </c>
      <c r="D12" s="243"/>
      <c r="E12" s="243"/>
      <c r="F12" s="243"/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/>
      <c r="E13" s="243"/>
      <c r="F13" s="243"/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4"/>
      <c r="E14" s="244"/>
      <c r="F14" s="244"/>
      <c r="G14" s="244"/>
    </row>
    <row r="15" spans="1:7" s="177" customFormat="1" ht="15" customHeight="1">
      <c r="A15" s="174"/>
      <c r="B15" s="175" t="s">
        <v>437</v>
      </c>
      <c r="C15" s="15" t="s">
        <v>34</v>
      </c>
      <c r="D15" s="243"/>
      <c r="E15" s="243"/>
      <c r="F15" s="243"/>
      <c r="G15" s="243"/>
    </row>
    <row r="16" spans="1:7" s="177" customFormat="1" ht="15" customHeight="1">
      <c r="A16" s="183"/>
      <c r="B16" s="184" t="s">
        <v>439</v>
      </c>
      <c r="C16" s="22" t="s">
        <v>36</v>
      </c>
      <c r="D16" s="246"/>
      <c r="E16" s="246"/>
      <c r="F16" s="246"/>
      <c r="G16" s="246"/>
    </row>
    <row r="17" spans="1:9" s="173" customFormat="1" ht="15" customHeight="1">
      <c r="A17" s="170" t="s">
        <v>5</v>
      </c>
      <c r="B17" s="171"/>
      <c r="C17" s="211" t="s">
        <v>1635</v>
      </c>
      <c r="D17" s="242">
        <f>SUM(D18:D21)</f>
        <v>10195</v>
      </c>
      <c r="E17" s="242">
        <f t="shared" ref="E17:F17" si="1">SUM(E18:E21)</f>
        <v>11907</v>
      </c>
      <c r="F17" s="242">
        <f t="shared" si="1"/>
        <v>11907</v>
      </c>
      <c r="G17" s="242">
        <f>F17/E17*100</f>
        <v>100</v>
      </c>
    </row>
    <row r="18" spans="1:9" s="177" customFormat="1" ht="15" customHeight="1">
      <c r="A18" s="174"/>
      <c r="B18" s="175" t="s">
        <v>6</v>
      </c>
      <c r="C18" s="27" t="s">
        <v>1636</v>
      </c>
      <c r="D18" s="243">
        <v>10195</v>
      </c>
      <c r="E18" s="243">
        <v>11907</v>
      </c>
      <c r="F18" s="243">
        <v>11907</v>
      </c>
      <c r="G18" s="243">
        <f>F18/E18*100</f>
        <v>100</v>
      </c>
    </row>
    <row r="19" spans="1:9" s="177" customFormat="1" ht="15" customHeight="1">
      <c r="A19" s="174"/>
      <c r="B19" s="175" t="s">
        <v>8</v>
      </c>
      <c r="C19" s="15" t="s">
        <v>1637</v>
      </c>
      <c r="D19" s="243"/>
      <c r="E19" s="243"/>
      <c r="F19" s="243"/>
      <c r="G19" s="243"/>
    </row>
    <row r="20" spans="1:9" s="177" customFormat="1" ht="15" customHeight="1">
      <c r="A20" s="174"/>
      <c r="B20" s="175" t="s">
        <v>10</v>
      </c>
      <c r="C20" s="15" t="s">
        <v>766</v>
      </c>
      <c r="D20" s="243"/>
      <c r="E20" s="243"/>
      <c r="F20" s="243"/>
      <c r="G20" s="243"/>
    </row>
    <row r="21" spans="1:9" s="177" customFormat="1" ht="15" customHeight="1">
      <c r="A21" s="174"/>
      <c r="B21" s="175" t="s">
        <v>12</v>
      </c>
      <c r="C21" s="15" t="s">
        <v>767</v>
      </c>
      <c r="D21" s="243"/>
      <c r="E21" s="243"/>
      <c r="F21" s="243"/>
      <c r="G21" s="243"/>
    </row>
    <row r="22" spans="1:9" s="177" customFormat="1" ht="15" customHeight="1">
      <c r="A22" s="170" t="s">
        <v>19</v>
      </c>
      <c r="B22" s="12"/>
      <c r="C22" s="12" t="s">
        <v>768</v>
      </c>
      <c r="D22" s="209"/>
      <c r="E22" s="209"/>
      <c r="F22" s="209"/>
      <c r="G22" s="209"/>
    </row>
    <row r="23" spans="1:9" s="177" customFormat="1" ht="15" customHeight="1">
      <c r="A23" s="170" t="s">
        <v>149</v>
      </c>
      <c r="B23" s="12"/>
      <c r="C23" s="12" t="s">
        <v>769</v>
      </c>
      <c r="D23" s="243"/>
      <c r="E23" s="243"/>
      <c r="F23" s="243"/>
      <c r="G23" s="243"/>
    </row>
    <row r="24" spans="1:9" s="173" customFormat="1" ht="15" customHeight="1">
      <c r="A24" s="170" t="s">
        <v>38</v>
      </c>
      <c r="B24" s="171"/>
      <c r="C24" s="12" t="s">
        <v>770</v>
      </c>
      <c r="D24" s="243"/>
      <c r="E24" s="243"/>
      <c r="F24" s="243"/>
      <c r="G24" s="243"/>
    </row>
    <row r="25" spans="1:9" s="173" customFormat="1" ht="15" customHeight="1">
      <c r="A25" s="170" t="s">
        <v>48</v>
      </c>
      <c r="B25" s="198"/>
      <c r="C25" s="12" t="s">
        <v>771</v>
      </c>
      <c r="D25" s="254">
        <f>+D26+D27</f>
        <v>0</v>
      </c>
      <c r="E25" s="254">
        <f t="shared" ref="E25:F25" si="2">+E26+E27</f>
        <v>2614</v>
      </c>
      <c r="F25" s="254">
        <f t="shared" si="2"/>
        <v>2614</v>
      </c>
      <c r="G25" s="254"/>
    </row>
    <row r="26" spans="1:9" s="173" customFormat="1" ht="15" customHeight="1">
      <c r="A26" s="181"/>
      <c r="B26" s="188" t="s">
        <v>49</v>
      </c>
      <c r="C26" s="19" t="s">
        <v>772</v>
      </c>
      <c r="D26" s="243"/>
      <c r="E26" s="243">
        <v>2614</v>
      </c>
      <c r="F26" s="243">
        <v>2614</v>
      </c>
      <c r="G26" s="243"/>
    </row>
    <row r="27" spans="1:9" s="173" customFormat="1" ht="15" customHeight="1">
      <c r="A27" s="191"/>
      <c r="B27" s="192" t="s">
        <v>62</v>
      </c>
      <c r="C27" s="24" t="s">
        <v>773</v>
      </c>
      <c r="D27" s="243"/>
      <c r="E27" s="243"/>
      <c r="F27" s="243"/>
      <c r="G27" s="243"/>
    </row>
    <row r="28" spans="1:9" s="177" customFormat="1" ht="15" customHeight="1">
      <c r="A28" s="201" t="s">
        <v>178</v>
      </c>
      <c r="B28" s="202"/>
      <c r="C28" s="12" t="s">
        <v>274</v>
      </c>
      <c r="D28" s="243">
        <v>153915</v>
      </c>
      <c r="E28" s="243">
        <v>132189</v>
      </c>
      <c r="F28" s="243">
        <v>132189</v>
      </c>
      <c r="G28" s="243">
        <f>F28/E28*100</f>
        <v>100</v>
      </c>
      <c r="I28" s="190">
        <f>SUM(D46-D30)</f>
        <v>0</v>
      </c>
    </row>
    <row r="29" spans="1:9" s="177" customFormat="1" ht="15" customHeight="1">
      <c r="A29" s="201"/>
      <c r="B29" s="202"/>
      <c r="C29" s="12" t="s">
        <v>774</v>
      </c>
      <c r="D29" s="209"/>
      <c r="E29" s="209"/>
      <c r="F29" s="209"/>
      <c r="G29" s="209"/>
    </row>
    <row r="30" spans="1:9" s="177" customFormat="1" ht="15" customHeight="1">
      <c r="A30" s="256" t="s">
        <v>74</v>
      </c>
      <c r="B30" s="257"/>
      <c r="C30" s="467" t="s">
        <v>775</v>
      </c>
      <c r="D30" s="258">
        <f>SUM(D8,D17,D22,D23,D24,D25,D28)</f>
        <v>164110</v>
      </c>
      <c r="E30" s="258">
        <f t="shared" ref="E30:F30" si="3">SUM(E8,E17,E22,E23,E24,E25,E28)</f>
        <v>146710</v>
      </c>
      <c r="F30" s="258">
        <f t="shared" si="3"/>
        <v>146710</v>
      </c>
      <c r="G30" s="258">
        <f>F30/E30*100</f>
        <v>100</v>
      </c>
    </row>
    <row r="31" spans="1:9" ht="15" customHeight="1">
      <c r="A31" s="230"/>
      <c r="B31" s="231"/>
      <c r="C31" s="231"/>
      <c r="D31" s="231"/>
      <c r="E31" s="231"/>
      <c r="F31" s="231"/>
      <c r="G31" s="231"/>
    </row>
    <row r="32" spans="1:9" s="165" customFormat="1" ht="15" customHeight="1">
      <c r="A32" s="256"/>
      <c r="B32" s="257"/>
      <c r="C32" s="500" t="s">
        <v>197</v>
      </c>
      <c r="D32" s="258"/>
      <c r="E32" s="258"/>
      <c r="F32" s="258"/>
      <c r="G32" s="258"/>
    </row>
    <row r="33" spans="1:7" s="221" customFormat="1" ht="15" customHeight="1">
      <c r="A33" s="170" t="s">
        <v>4</v>
      </c>
      <c r="B33" s="12"/>
      <c r="C33" s="67" t="s">
        <v>101</v>
      </c>
      <c r="D33" s="242">
        <f>SUM(D34:D38)</f>
        <v>139610</v>
      </c>
      <c r="E33" s="242">
        <f t="shared" ref="E33:F33" si="4">SUM(E34:E38)</f>
        <v>146710</v>
      </c>
      <c r="F33" s="242">
        <f t="shared" si="4"/>
        <v>146710</v>
      </c>
      <c r="G33" s="242">
        <f>F33/E33*100</f>
        <v>100</v>
      </c>
    </row>
    <row r="34" spans="1:7" ht="15" customHeight="1">
      <c r="A34" s="193"/>
      <c r="B34" s="220" t="s">
        <v>102</v>
      </c>
      <c r="C34" s="27" t="s">
        <v>103</v>
      </c>
      <c r="D34" s="250">
        <v>83460</v>
      </c>
      <c r="E34" s="250">
        <v>97831</v>
      </c>
      <c r="F34" s="250">
        <v>97831</v>
      </c>
      <c r="G34" s="250">
        <f>F34/E34*100</f>
        <v>100</v>
      </c>
    </row>
    <row r="35" spans="1:7" ht="15" customHeight="1">
      <c r="A35" s="174"/>
      <c r="B35" s="189" t="s">
        <v>104</v>
      </c>
      <c r="C35" s="15" t="s">
        <v>105</v>
      </c>
      <c r="D35" s="243">
        <v>22064</v>
      </c>
      <c r="E35" s="243">
        <v>24840</v>
      </c>
      <c r="F35" s="243">
        <v>24840</v>
      </c>
      <c r="G35" s="243">
        <f>F35/E35*100</f>
        <v>100</v>
      </c>
    </row>
    <row r="36" spans="1:7" ht="15" customHeight="1">
      <c r="A36" s="174"/>
      <c r="B36" s="189" t="s">
        <v>106</v>
      </c>
      <c r="C36" s="15" t="s">
        <v>107</v>
      </c>
      <c r="D36" s="243">
        <v>34086</v>
      </c>
      <c r="E36" s="243">
        <v>24039</v>
      </c>
      <c r="F36" s="243">
        <v>24039</v>
      </c>
      <c r="G36" s="243">
        <f>F36/E36*100</f>
        <v>100</v>
      </c>
    </row>
    <row r="37" spans="1:7" ht="15" customHeight="1">
      <c r="A37" s="174"/>
      <c r="B37" s="189" t="s">
        <v>108</v>
      </c>
      <c r="C37" s="15" t="s">
        <v>109</v>
      </c>
      <c r="D37" s="243"/>
      <c r="E37" s="243"/>
      <c r="F37" s="243"/>
      <c r="G37" s="243"/>
    </row>
    <row r="38" spans="1:7" ht="15" customHeight="1">
      <c r="A38" s="174"/>
      <c r="B38" s="189" t="s">
        <v>110</v>
      </c>
      <c r="C38" s="15" t="s">
        <v>111</v>
      </c>
      <c r="D38" s="243"/>
      <c r="E38" s="243"/>
      <c r="F38" s="243"/>
      <c r="G38" s="243"/>
    </row>
    <row r="39" spans="1:7" ht="15" customHeight="1">
      <c r="A39" s="170" t="s">
        <v>5</v>
      </c>
      <c r="B39" s="12"/>
      <c r="C39" s="67" t="s">
        <v>787</v>
      </c>
      <c r="D39" s="242">
        <f>SUM(D40:D43)</f>
        <v>24500</v>
      </c>
      <c r="E39" s="242">
        <f t="shared" ref="E39:F39" si="5">SUM(E40:E43)</f>
        <v>0</v>
      </c>
      <c r="F39" s="242">
        <f t="shared" si="5"/>
        <v>0</v>
      </c>
      <c r="G39" s="242"/>
    </row>
    <row r="40" spans="1:7" s="221" customFormat="1" ht="15" customHeight="1">
      <c r="A40" s="193"/>
      <c r="B40" s="220" t="s">
        <v>6</v>
      </c>
      <c r="C40" s="27" t="s">
        <v>780</v>
      </c>
      <c r="D40" s="250">
        <v>24500</v>
      </c>
      <c r="E40" s="250">
        <v>0</v>
      </c>
      <c r="F40" s="250">
        <v>0</v>
      </c>
      <c r="G40" s="250"/>
    </row>
    <row r="41" spans="1:7" ht="15" customHeight="1">
      <c r="A41" s="174"/>
      <c r="B41" s="189" t="s">
        <v>8</v>
      </c>
      <c r="C41" s="15" t="s">
        <v>134</v>
      </c>
      <c r="D41" s="243"/>
      <c r="E41" s="243"/>
      <c r="F41" s="243"/>
      <c r="G41" s="243"/>
    </row>
    <row r="42" spans="1:7" ht="30" customHeight="1">
      <c r="A42" s="174"/>
      <c r="B42" s="189" t="s">
        <v>14</v>
      </c>
      <c r="C42" s="15" t="s">
        <v>137</v>
      </c>
      <c r="D42" s="243"/>
      <c r="E42" s="243"/>
      <c r="F42" s="243"/>
      <c r="G42" s="243"/>
    </row>
    <row r="43" spans="1:7" ht="15" customHeight="1">
      <c r="A43" s="174"/>
      <c r="B43" s="189" t="s">
        <v>18</v>
      </c>
      <c r="C43" s="15" t="s">
        <v>781</v>
      </c>
      <c r="D43" s="243"/>
      <c r="E43" s="243"/>
      <c r="F43" s="243"/>
      <c r="G43" s="243"/>
    </row>
    <row r="44" spans="1:7" ht="15" customHeight="1">
      <c r="A44" s="170" t="s">
        <v>19</v>
      </c>
      <c r="B44" s="12"/>
      <c r="C44" s="67" t="s">
        <v>782</v>
      </c>
      <c r="D44" s="209"/>
      <c r="E44" s="209"/>
      <c r="F44" s="209"/>
      <c r="G44" s="209"/>
    </row>
    <row r="45" spans="1:7" s="177" customFormat="1" ht="15" customHeight="1">
      <c r="A45" s="170"/>
      <c r="B45" s="12"/>
      <c r="C45" s="67" t="s">
        <v>783</v>
      </c>
      <c r="D45" s="209"/>
      <c r="E45" s="209"/>
      <c r="F45" s="209"/>
      <c r="G45" s="209"/>
    </row>
    <row r="46" spans="1:7" ht="15" customHeight="1">
      <c r="A46" s="256" t="s">
        <v>149</v>
      </c>
      <c r="B46" s="257"/>
      <c r="C46" s="467" t="s">
        <v>784</v>
      </c>
      <c r="D46" s="258">
        <f>+D33+D39+D44</f>
        <v>164110</v>
      </c>
      <c r="E46" s="258">
        <f t="shared" ref="E46:F46" si="6">+E33+E39+E44</f>
        <v>146710</v>
      </c>
      <c r="F46" s="258">
        <f t="shared" si="6"/>
        <v>146710</v>
      </c>
      <c r="G46" s="258">
        <f>F46/E46*100</f>
        <v>100</v>
      </c>
    </row>
    <row r="47" spans="1:7" ht="15" customHeight="1">
      <c r="A47" s="230"/>
      <c r="B47" s="231"/>
      <c r="C47" s="231"/>
      <c r="D47" s="231"/>
      <c r="E47" s="231"/>
      <c r="F47" s="231"/>
      <c r="G47" s="231"/>
    </row>
    <row r="48" spans="1:7" ht="15" customHeight="1">
      <c r="A48" s="232" t="s">
        <v>289</v>
      </c>
      <c r="B48" s="233"/>
      <c r="C48" s="234"/>
      <c r="D48" s="235">
        <v>21.5</v>
      </c>
      <c r="E48" s="235">
        <v>21.5</v>
      </c>
      <c r="F48" s="235">
        <v>21.5</v>
      </c>
      <c r="G48" s="235"/>
    </row>
    <row r="49" spans="1:7" ht="15" customHeight="1">
      <c r="A49" s="232" t="s">
        <v>290</v>
      </c>
      <c r="B49" s="233"/>
      <c r="C49" s="234"/>
      <c r="D49" s="469"/>
      <c r="E49" s="469"/>
      <c r="F49" s="469"/>
      <c r="G49" s="469"/>
    </row>
  </sheetData>
  <sheetProtection selectLockedCells="1" selectUnlockedCells="1"/>
  <mergeCells count="5">
    <mergeCell ref="D1:G1"/>
    <mergeCell ref="A2:B2"/>
    <mergeCell ref="A3:B3"/>
    <mergeCell ref="A5:B5"/>
    <mergeCell ref="D4:G4"/>
  </mergeCells>
  <printOptions horizontalCentered="1"/>
  <pageMargins left="0.43307086614173229" right="0.31496062992125984" top="0.31496062992125984" bottom="0.43307086614173229" header="0.51181102362204722" footer="0.15748031496062992"/>
  <pageSetup paperSize="9" scale="76" firstPageNumber="56" orientation="portrait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topLeftCell="A28" zoomScaleNormal="130" workbookViewId="0">
      <selection activeCell="C55" sqref="C55"/>
    </sheetView>
  </sheetViews>
  <sheetFormatPr defaultRowHeight="12.75"/>
  <cols>
    <col min="1" max="1" width="6.5" style="151" customWidth="1"/>
    <col min="2" max="2" width="9.6640625" style="152" customWidth="1"/>
    <col min="3" max="3" width="67" style="152" customWidth="1"/>
    <col min="4" max="4" width="15" style="152" customWidth="1"/>
    <col min="5" max="5" width="13.83203125" style="152" bestFit="1" customWidth="1"/>
    <col min="6" max="6" width="13.5" style="152" customWidth="1"/>
    <col min="7" max="7" width="10.33203125" style="152" customWidth="1"/>
    <col min="8" max="16384" width="9.33203125" style="152"/>
  </cols>
  <sheetData>
    <row r="1" spans="1:7" s="436" customFormat="1" ht="21" customHeight="1">
      <c r="A1" s="433"/>
      <c r="B1" s="434"/>
      <c r="C1" s="435"/>
      <c r="D1" s="1944" t="s">
        <v>798</v>
      </c>
      <c r="E1" s="1944"/>
      <c r="F1" s="1944"/>
      <c r="G1" s="1944"/>
    </row>
    <row r="2" spans="1:7" s="155" customFormat="1" ht="31.5" customHeight="1">
      <c r="A2" s="1901" t="s">
        <v>760</v>
      </c>
      <c r="B2" s="1901"/>
      <c r="C2" s="153" t="s">
        <v>761</v>
      </c>
      <c r="D2" s="456"/>
      <c r="E2" s="456"/>
      <c r="F2" s="456"/>
      <c r="G2" s="456"/>
    </row>
    <row r="3" spans="1:7" s="155" customFormat="1" ht="30.75" customHeight="1" thickBot="1">
      <c r="A3" s="1899" t="s">
        <v>258</v>
      </c>
      <c r="B3" s="1899"/>
      <c r="C3" s="156" t="s">
        <v>799</v>
      </c>
      <c r="D3" s="437"/>
      <c r="E3" s="437"/>
      <c r="F3" s="437"/>
      <c r="G3" s="437"/>
    </row>
    <row r="4" spans="1:7" s="159" customFormat="1" ht="15.95" customHeight="1" thickBot="1">
      <c r="A4" s="157"/>
      <c r="B4" s="157"/>
      <c r="C4" s="157"/>
      <c r="D4" s="1908" t="s">
        <v>194</v>
      </c>
      <c r="E4" s="1908"/>
      <c r="F4" s="1908"/>
      <c r="G4" s="1908"/>
    </row>
    <row r="5" spans="1:7" ht="31.5" customHeight="1" thickBo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7" s="165" customFormat="1" ht="15" customHeight="1">
      <c r="A6" s="160">
        <v>1</v>
      </c>
      <c r="B6" s="163">
        <v>2</v>
      </c>
      <c r="C6" s="163">
        <v>3</v>
      </c>
      <c r="D6" s="164">
        <v>4</v>
      </c>
      <c r="E6" s="164">
        <v>5</v>
      </c>
      <c r="F6" s="164">
        <v>6</v>
      </c>
      <c r="G6" s="164">
        <v>7</v>
      </c>
    </row>
    <row r="7" spans="1:7" s="165" customFormat="1" ht="15" customHeight="1">
      <c r="A7" s="256"/>
      <c r="B7" s="257"/>
      <c r="C7" s="500" t="s">
        <v>196</v>
      </c>
      <c r="D7" s="258"/>
      <c r="E7" s="258"/>
      <c r="F7" s="258"/>
      <c r="G7" s="258"/>
    </row>
    <row r="8" spans="1:7" s="173" customFormat="1" ht="15" customHeight="1">
      <c r="A8" s="170" t="s">
        <v>4</v>
      </c>
      <c r="B8" s="171"/>
      <c r="C8" s="172" t="s">
        <v>762</v>
      </c>
      <c r="D8" s="242">
        <f>SUM(D9:D16)</f>
        <v>0</v>
      </c>
      <c r="E8" s="242">
        <f t="shared" ref="E8:F8" si="0">SUM(E9:E16)</f>
        <v>0</v>
      </c>
      <c r="F8" s="242">
        <f t="shared" si="0"/>
        <v>0</v>
      </c>
      <c r="G8" s="242"/>
    </row>
    <row r="9" spans="1:7" s="173" customFormat="1" ht="15" customHeight="1">
      <c r="A9" s="181"/>
      <c r="B9" s="175" t="s">
        <v>102</v>
      </c>
      <c r="C9" s="19" t="s">
        <v>22</v>
      </c>
      <c r="D9" s="245"/>
      <c r="E9" s="245"/>
      <c r="F9" s="245"/>
      <c r="G9" s="245"/>
    </row>
    <row r="10" spans="1:7" s="173" customFormat="1" ht="15" customHeight="1">
      <c r="A10" s="174"/>
      <c r="B10" s="175" t="s">
        <v>104</v>
      </c>
      <c r="C10" s="15" t="s">
        <v>24</v>
      </c>
      <c r="D10" s="243"/>
      <c r="E10" s="243"/>
      <c r="F10" s="243"/>
      <c r="G10" s="243"/>
    </row>
    <row r="11" spans="1:7" s="173" customFormat="1" ht="15" customHeight="1">
      <c r="A11" s="174"/>
      <c r="B11" s="175" t="s">
        <v>106</v>
      </c>
      <c r="C11" s="15" t="s">
        <v>26</v>
      </c>
      <c r="D11" s="243"/>
      <c r="E11" s="243"/>
      <c r="F11" s="243"/>
      <c r="G11" s="243"/>
    </row>
    <row r="12" spans="1:7" s="173" customFormat="1" ht="15" customHeight="1">
      <c r="A12" s="174"/>
      <c r="B12" s="175" t="s">
        <v>108</v>
      </c>
      <c r="C12" s="15" t="s">
        <v>28</v>
      </c>
      <c r="D12" s="243"/>
      <c r="E12" s="243"/>
      <c r="F12" s="243"/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/>
      <c r="E13" s="243"/>
      <c r="F13" s="243"/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4"/>
      <c r="E14" s="244"/>
      <c r="F14" s="244"/>
      <c r="G14" s="244"/>
    </row>
    <row r="15" spans="1:7" s="177" customFormat="1" ht="15" customHeight="1">
      <c r="A15" s="174"/>
      <c r="B15" s="175" t="s">
        <v>437</v>
      </c>
      <c r="C15" s="15" t="s">
        <v>34</v>
      </c>
      <c r="D15" s="243"/>
      <c r="E15" s="243"/>
      <c r="F15" s="243"/>
      <c r="G15" s="243"/>
    </row>
    <row r="16" spans="1:7" s="177" customFormat="1" ht="15" customHeight="1">
      <c r="A16" s="183"/>
      <c r="B16" s="184" t="s">
        <v>439</v>
      </c>
      <c r="C16" s="22" t="s">
        <v>36</v>
      </c>
      <c r="D16" s="246"/>
      <c r="E16" s="246"/>
      <c r="F16" s="246"/>
      <c r="G16" s="246"/>
    </row>
    <row r="17" spans="1:9" s="173" customFormat="1" ht="15" customHeight="1">
      <c r="A17" s="170" t="s">
        <v>5</v>
      </c>
      <c r="B17" s="171"/>
      <c r="C17" s="211" t="s">
        <v>1635</v>
      </c>
      <c r="D17" s="242">
        <f>SUM(D18:D21)</f>
        <v>3675</v>
      </c>
      <c r="E17" s="242">
        <f t="shared" ref="E17:F17" si="1">SUM(E18:E21)</f>
        <v>4575</v>
      </c>
      <c r="F17" s="242">
        <f t="shared" si="1"/>
        <v>4575</v>
      </c>
      <c r="G17" s="242">
        <f>F17/E17*100</f>
        <v>100</v>
      </c>
    </row>
    <row r="18" spans="1:9" s="177" customFormat="1" ht="15" customHeight="1">
      <c r="A18" s="174"/>
      <c r="B18" s="175" t="s">
        <v>6</v>
      </c>
      <c r="C18" s="27" t="s">
        <v>1636</v>
      </c>
      <c r="D18" s="243">
        <v>3675</v>
      </c>
      <c r="E18" s="243">
        <v>4575</v>
      </c>
      <c r="F18" s="243">
        <v>4575</v>
      </c>
      <c r="G18" s="243">
        <f>F18/E18*100</f>
        <v>100</v>
      </c>
    </row>
    <row r="19" spans="1:9" s="177" customFormat="1" ht="15" customHeight="1">
      <c r="A19" s="174"/>
      <c r="B19" s="175" t="s">
        <v>8</v>
      </c>
      <c r="C19" s="15" t="s">
        <v>1637</v>
      </c>
      <c r="D19" s="243"/>
      <c r="E19" s="243"/>
      <c r="F19" s="243"/>
      <c r="G19" s="243"/>
    </row>
    <row r="20" spans="1:9" s="177" customFormat="1" ht="15" customHeight="1">
      <c r="A20" s="174"/>
      <c r="B20" s="175" t="s">
        <v>10</v>
      </c>
      <c r="C20" s="15" t="s">
        <v>766</v>
      </c>
      <c r="D20" s="243"/>
      <c r="E20" s="243"/>
      <c r="F20" s="243"/>
      <c r="G20" s="243"/>
    </row>
    <row r="21" spans="1:9" s="177" customFormat="1" ht="15" customHeight="1">
      <c r="A21" s="174"/>
      <c r="B21" s="175" t="s">
        <v>12</v>
      </c>
      <c r="C21" s="15" t="s">
        <v>767</v>
      </c>
      <c r="D21" s="243"/>
      <c r="E21" s="243"/>
      <c r="F21" s="243"/>
      <c r="G21" s="243"/>
    </row>
    <row r="22" spans="1:9" s="177" customFormat="1" ht="15" customHeight="1">
      <c r="A22" s="170" t="s">
        <v>19</v>
      </c>
      <c r="B22" s="12"/>
      <c r="C22" s="12" t="s">
        <v>768</v>
      </c>
      <c r="D22" s="209">
        <v>0</v>
      </c>
      <c r="E22" s="209">
        <v>0</v>
      </c>
      <c r="F22" s="209">
        <v>0</v>
      </c>
      <c r="G22" s="209"/>
    </row>
    <row r="23" spans="1:9" s="177" customFormat="1" ht="15" customHeight="1">
      <c r="A23" s="170" t="s">
        <v>149</v>
      </c>
      <c r="B23" s="12"/>
      <c r="C23" s="12" t="s">
        <v>769</v>
      </c>
      <c r="D23" s="209">
        <v>0</v>
      </c>
      <c r="E23" s="209">
        <v>0</v>
      </c>
      <c r="F23" s="209">
        <v>0</v>
      </c>
      <c r="G23" s="209"/>
    </row>
    <row r="24" spans="1:9" s="173" customFormat="1" ht="15" customHeight="1">
      <c r="A24" s="170" t="s">
        <v>38</v>
      </c>
      <c r="B24" s="171"/>
      <c r="C24" s="12" t="s">
        <v>770</v>
      </c>
      <c r="D24" s="209">
        <v>0</v>
      </c>
      <c r="E24" s="209">
        <v>0</v>
      </c>
      <c r="F24" s="209">
        <v>0</v>
      </c>
      <c r="G24" s="209"/>
    </row>
    <row r="25" spans="1:9" s="173" customFormat="1" ht="15" customHeight="1">
      <c r="A25" s="170" t="s">
        <v>48</v>
      </c>
      <c r="B25" s="198"/>
      <c r="C25" s="12" t="s">
        <v>771</v>
      </c>
      <c r="D25" s="242">
        <f>+D26+D27</f>
        <v>0</v>
      </c>
      <c r="E25" s="242">
        <f t="shared" ref="E25:F25" si="2">+E26+E27</f>
        <v>0</v>
      </c>
      <c r="F25" s="242">
        <f t="shared" si="2"/>
        <v>0</v>
      </c>
      <c r="G25" s="242"/>
    </row>
    <row r="26" spans="1:9" s="173" customFormat="1" ht="15" customHeight="1">
      <c r="A26" s="181"/>
      <c r="B26" s="188" t="s">
        <v>49</v>
      </c>
      <c r="C26" s="19" t="s">
        <v>772</v>
      </c>
      <c r="D26" s="243"/>
      <c r="E26" s="243"/>
      <c r="F26" s="243"/>
      <c r="G26" s="243"/>
    </row>
    <row r="27" spans="1:9" s="173" customFormat="1" ht="15" customHeight="1">
      <c r="A27" s="191"/>
      <c r="B27" s="192" t="s">
        <v>62</v>
      </c>
      <c r="C27" s="24" t="s">
        <v>773</v>
      </c>
      <c r="D27" s="246"/>
      <c r="E27" s="246"/>
      <c r="F27" s="246"/>
      <c r="G27" s="246"/>
    </row>
    <row r="28" spans="1:9" s="177" customFormat="1" ht="15" customHeight="1">
      <c r="A28" s="201" t="s">
        <v>178</v>
      </c>
      <c r="B28" s="202"/>
      <c r="C28" s="12" t="s">
        <v>274</v>
      </c>
      <c r="D28" s="444">
        <v>39074</v>
      </c>
      <c r="E28" s="444">
        <v>46891</v>
      </c>
      <c r="F28" s="444">
        <v>46891</v>
      </c>
      <c r="G28" s="444">
        <f>F28/E28*100</f>
        <v>100</v>
      </c>
      <c r="I28" s="190">
        <f>SUM(D47-D30)</f>
        <v>0</v>
      </c>
    </row>
    <row r="29" spans="1:9" s="177" customFormat="1" ht="15" customHeight="1">
      <c r="A29" s="201"/>
      <c r="B29" s="202"/>
      <c r="C29" s="12" t="s">
        <v>774</v>
      </c>
      <c r="D29" s="209"/>
      <c r="E29" s="209"/>
      <c r="F29" s="209"/>
      <c r="G29" s="209"/>
    </row>
    <row r="30" spans="1:9" s="177" customFormat="1" ht="15" customHeight="1">
      <c r="A30" s="256" t="s">
        <v>74</v>
      </c>
      <c r="B30" s="257"/>
      <c r="C30" s="467" t="s">
        <v>775</v>
      </c>
      <c r="D30" s="258">
        <f>SUM(D8,D17,D22,D23,D24,D25,D28)</f>
        <v>42749</v>
      </c>
      <c r="E30" s="258">
        <f t="shared" ref="E30:F30" si="3">SUM(E8,E17,E22,E23,E24,E25,E28)</f>
        <v>51466</v>
      </c>
      <c r="F30" s="258">
        <f t="shared" si="3"/>
        <v>51466</v>
      </c>
      <c r="G30" s="258">
        <f>F30/E30*100</f>
        <v>100</v>
      </c>
    </row>
    <row r="31" spans="1:9" s="177" customFormat="1" ht="15" customHeight="1">
      <c r="A31" s="449"/>
      <c r="B31" s="449"/>
      <c r="C31" s="468"/>
      <c r="D31" s="501"/>
      <c r="E31" s="501"/>
      <c r="F31" s="501"/>
      <c r="G31" s="501"/>
    </row>
    <row r="32" spans="1:9" ht="15" customHeight="1">
      <c r="A32" s="230"/>
      <c r="B32" s="231"/>
      <c r="C32" s="231"/>
      <c r="D32" s="503"/>
      <c r="E32" s="503"/>
      <c r="F32" s="503"/>
      <c r="G32" s="503"/>
    </row>
    <row r="33" spans="1:7" s="165" customFormat="1" ht="15" customHeight="1">
      <c r="A33" s="256"/>
      <c r="B33" s="257"/>
      <c r="C33" s="500" t="s">
        <v>197</v>
      </c>
      <c r="D33" s="258"/>
      <c r="E33" s="258"/>
      <c r="F33" s="258"/>
      <c r="G33" s="258"/>
    </row>
    <row r="34" spans="1:7" s="221" customFormat="1" ht="15" customHeight="1">
      <c r="A34" s="170" t="s">
        <v>4</v>
      </c>
      <c r="B34" s="12"/>
      <c r="C34" s="67" t="s">
        <v>101</v>
      </c>
      <c r="D34" s="242">
        <f>SUM(D35:D39)</f>
        <v>42749</v>
      </c>
      <c r="E34" s="242">
        <f t="shared" ref="E34:F34" si="4">SUM(E35:E39)</f>
        <v>51466</v>
      </c>
      <c r="F34" s="242">
        <f t="shared" si="4"/>
        <v>51466</v>
      </c>
      <c r="G34" s="242">
        <f>F34/E34*100</f>
        <v>100</v>
      </c>
    </row>
    <row r="35" spans="1:7" ht="15" customHeight="1">
      <c r="A35" s="193"/>
      <c r="B35" s="220" t="s">
        <v>102</v>
      </c>
      <c r="C35" s="27" t="s">
        <v>103</v>
      </c>
      <c r="D35" s="250">
        <v>26956</v>
      </c>
      <c r="E35" s="250">
        <v>36078</v>
      </c>
      <c r="F35" s="250">
        <v>36078</v>
      </c>
      <c r="G35" s="250">
        <f>F35/E35*100</f>
        <v>100</v>
      </c>
    </row>
    <row r="36" spans="1:7" ht="15" customHeight="1">
      <c r="A36" s="174"/>
      <c r="B36" s="189" t="s">
        <v>104</v>
      </c>
      <c r="C36" s="15" t="s">
        <v>105</v>
      </c>
      <c r="D36" s="243">
        <v>7138</v>
      </c>
      <c r="E36" s="243">
        <v>9244</v>
      </c>
      <c r="F36" s="243">
        <v>9244</v>
      </c>
      <c r="G36" s="243">
        <f>F36/E36*100</f>
        <v>100</v>
      </c>
    </row>
    <row r="37" spans="1:7" ht="15" customHeight="1">
      <c r="A37" s="174"/>
      <c r="B37" s="189" t="s">
        <v>106</v>
      </c>
      <c r="C37" s="15" t="s">
        <v>107</v>
      </c>
      <c r="D37" s="243">
        <v>8655</v>
      </c>
      <c r="E37" s="243">
        <v>6144</v>
      </c>
      <c r="F37" s="243">
        <v>6144</v>
      </c>
      <c r="G37" s="243">
        <f>F37/E37*100</f>
        <v>100</v>
      </c>
    </row>
    <row r="38" spans="1:7" ht="15" customHeight="1">
      <c r="A38" s="174"/>
      <c r="B38" s="189" t="s">
        <v>108</v>
      </c>
      <c r="C38" s="15" t="s">
        <v>109</v>
      </c>
      <c r="D38" s="243"/>
      <c r="E38" s="243"/>
      <c r="F38" s="243"/>
      <c r="G38" s="243"/>
    </row>
    <row r="39" spans="1:7" ht="15" customHeight="1">
      <c r="A39" s="174"/>
      <c r="B39" s="189" t="s">
        <v>110</v>
      </c>
      <c r="C39" s="15" t="s">
        <v>111</v>
      </c>
      <c r="D39" s="243"/>
      <c r="E39" s="243"/>
      <c r="F39" s="243"/>
      <c r="G39" s="243"/>
    </row>
    <row r="40" spans="1:7" ht="15" customHeight="1">
      <c r="A40" s="170" t="s">
        <v>5</v>
      </c>
      <c r="B40" s="12"/>
      <c r="C40" s="67" t="s">
        <v>787</v>
      </c>
      <c r="D40" s="242">
        <f>SUM(D41:D44)</f>
        <v>0</v>
      </c>
      <c r="E40" s="242">
        <f t="shared" ref="E40:F40" si="5">SUM(E41:E44)</f>
        <v>0</v>
      </c>
      <c r="F40" s="242">
        <f t="shared" si="5"/>
        <v>0</v>
      </c>
      <c r="G40" s="242"/>
    </row>
    <row r="41" spans="1:7" s="221" customFormat="1" ht="15" customHeight="1">
      <c r="A41" s="193"/>
      <c r="B41" s="220" t="s">
        <v>6</v>
      </c>
      <c r="C41" s="27" t="s">
        <v>780</v>
      </c>
      <c r="D41" s="250"/>
      <c r="E41" s="250"/>
      <c r="F41" s="250"/>
      <c r="G41" s="250"/>
    </row>
    <row r="42" spans="1:7" ht="15" customHeight="1">
      <c r="A42" s="174"/>
      <c r="B42" s="189" t="s">
        <v>8</v>
      </c>
      <c r="C42" s="15" t="s">
        <v>134</v>
      </c>
      <c r="D42" s="243"/>
      <c r="E42" s="243"/>
      <c r="F42" s="243"/>
      <c r="G42" s="243"/>
    </row>
    <row r="43" spans="1:7" ht="15" customHeight="1">
      <c r="A43" s="174"/>
      <c r="B43" s="189" t="s">
        <v>14</v>
      </c>
      <c r="C43" s="15" t="s">
        <v>137</v>
      </c>
      <c r="D43" s="243"/>
      <c r="E43" s="243"/>
      <c r="F43" s="243"/>
      <c r="G43" s="243"/>
    </row>
    <row r="44" spans="1:7" ht="15" customHeight="1">
      <c r="A44" s="174"/>
      <c r="B44" s="189" t="s">
        <v>18</v>
      </c>
      <c r="C44" s="15" t="s">
        <v>781</v>
      </c>
      <c r="D44" s="243"/>
      <c r="E44" s="243"/>
      <c r="F44" s="243"/>
      <c r="G44" s="243"/>
    </row>
    <row r="45" spans="1:7" ht="15" customHeight="1">
      <c r="A45" s="170" t="s">
        <v>19</v>
      </c>
      <c r="B45" s="12"/>
      <c r="C45" s="67" t="s">
        <v>782</v>
      </c>
      <c r="D45" s="209"/>
      <c r="E45" s="209"/>
      <c r="F45" s="209"/>
      <c r="G45" s="209"/>
    </row>
    <row r="46" spans="1:7" s="177" customFormat="1" ht="15" customHeight="1">
      <c r="A46" s="170"/>
      <c r="B46" s="12"/>
      <c r="C46" s="67" t="s">
        <v>783</v>
      </c>
      <c r="D46" s="209"/>
      <c r="E46" s="209"/>
      <c r="F46" s="209"/>
      <c r="G46" s="209"/>
    </row>
    <row r="47" spans="1:7" ht="15" customHeight="1">
      <c r="A47" s="256" t="s">
        <v>149</v>
      </c>
      <c r="B47" s="257"/>
      <c r="C47" s="467" t="s">
        <v>784</v>
      </c>
      <c r="D47" s="258">
        <f>+D34+D40+D45</f>
        <v>42749</v>
      </c>
      <c r="E47" s="258">
        <f t="shared" ref="E47:F47" si="6">+E34+E40+E45</f>
        <v>51466</v>
      </c>
      <c r="F47" s="258">
        <f t="shared" si="6"/>
        <v>51466</v>
      </c>
      <c r="G47" s="258">
        <f>F47/E47*100</f>
        <v>100</v>
      </c>
    </row>
    <row r="48" spans="1:7" ht="15" customHeight="1">
      <c r="A48" s="230"/>
      <c r="B48" s="231"/>
      <c r="C48" s="231"/>
      <c r="D48" s="231"/>
      <c r="E48" s="231"/>
      <c r="F48" s="231"/>
      <c r="G48" s="231"/>
    </row>
    <row r="49" spans="1:7" ht="15" customHeight="1">
      <c r="A49" s="232" t="s">
        <v>289</v>
      </c>
      <c r="B49" s="233"/>
      <c r="C49" s="234"/>
      <c r="D49" s="235">
        <v>7.75</v>
      </c>
      <c r="E49" s="235">
        <v>7.75</v>
      </c>
      <c r="F49" s="235">
        <v>7.75</v>
      </c>
      <c r="G49" s="235"/>
    </row>
    <row r="50" spans="1:7" ht="15" customHeight="1">
      <c r="A50" s="232" t="s">
        <v>290</v>
      </c>
      <c r="B50" s="233"/>
      <c r="C50" s="234"/>
      <c r="D50" s="235"/>
      <c r="E50" s="235"/>
      <c r="F50" s="235"/>
      <c r="G50" s="469"/>
    </row>
    <row r="51" spans="1:7" ht="15" customHeight="1"/>
  </sheetData>
  <sheetProtection selectLockedCells="1" selectUnlockedCells="1"/>
  <mergeCells count="5">
    <mergeCell ref="D1:G1"/>
    <mergeCell ref="A2:B2"/>
    <mergeCell ref="A3:B3"/>
    <mergeCell ref="A5:B5"/>
    <mergeCell ref="D4:G4"/>
  </mergeCells>
  <printOptions horizontalCentered="1"/>
  <pageMargins left="0.35433070866141736" right="0.31496062992125984" top="0.51181102362204722" bottom="0.39370078740157483" header="0.51181102362204722" footer="0.19685039370078741"/>
  <pageSetup paperSize="9" scale="79" firstPageNumber="57" orientation="portrait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topLeftCell="A22" zoomScaleNormal="130" workbookViewId="0">
      <selection activeCell="E22" sqref="E1:H1048576"/>
    </sheetView>
  </sheetViews>
  <sheetFormatPr defaultRowHeight="12.75"/>
  <cols>
    <col min="1" max="1" width="6.5" style="151" customWidth="1"/>
    <col min="2" max="2" width="9.6640625" style="152" customWidth="1"/>
    <col min="3" max="3" width="64" style="152" customWidth="1"/>
    <col min="4" max="4" width="16.5" style="152" customWidth="1"/>
    <col min="5" max="6" width="15.33203125" style="152" customWidth="1"/>
    <col min="7" max="7" width="12.6640625" style="152" customWidth="1"/>
    <col min="8" max="16384" width="9.33203125" style="152"/>
  </cols>
  <sheetData>
    <row r="1" spans="1:7" s="436" customFormat="1" ht="21" customHeight="1">
      <c r="A1" s="433"/>
      <c r="B1" s="434"/>
      <c r="C1" s="435"/>
      <c r="D1" s="1944" t="s">
        <v>800</v>
      </c>
      <c r="E1" s="1944"/>
      <c r="F1" s="1944"/>
      <c r="G1" s="1944"/>
    </row>
    <row r="2" spans="1:7" s="155" customFormat="1" ht="30" customHeight="1">
      <c r="A2" s="1901" t="s">
        <v>760</v>
      </c>
      <c r="B2" s="1901"/>
      <c r="C2" s="153" t="s">
        <v>761</v>
      </c>
      <c r="D2" s="456"/>
      <c r="E2" s="456"/>
      <c r="F2" s="456"/>
      <c r="G2" s="456"/>
    </row>
    <row r="3" spans="1:7" s="155" customFormat="1" ht="30" customHeight="1" thickBot="1">
      <c r="A3" s="1899" t="s">
        <v>258</v>
      </c>
      <c r="B3" s="1899"/>
      <c r="C3" s="156" t="s">
        <v>801</v>
      </c>
      <c r="D3" s="437"/>
      <c r="E3" s="437"/>
      <c r="F3" s="437"/>
      <c r="G3" s="437"/>
    </row>
    <row r="4" spans="1:7" s="159" customFormat="1" ht="15.95" customHeight="1" thickBot="1">
      <c r="A4" s="157"/>
      <c r="B4" s="157"/>
      <c r="C4" s="157"/>
      <c r="D4" s="1908" t="s">
        <v>194</v>
      </c>
      <c r="E4" s="1908"/>
      <c r="F4" s="1908"/>
      <c r="G4" s="1908"/>
    </row>
    <row r="5" spans="1:7" ht="32.25" customHeight="1" thickBo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7" s="165" customFormat="1" ht="15" customHeight="1">
      <c r="A6" s="160">
        <v>1</v>
      </c>
      <c r="B6" s="163">
        <v>2</v>
      </c>
      <c r="C6" s="163">
        <v>3</v>
      </c>
      <c r="D6" s="164">
        <v>4</v>
      </c>
      <c r="E6" s="164">
        <v>5</v>
      </c>
      <c r="F6" s="164">
        <v>6</v>
      </c>
      <c r="G6" s="164">
        <v>7</v>
      </c>
    </row>
    <row r="7" spans="1:7" s="165" customFormat="1" ht="15" customHeight="1">
      <c r="A7" s="256"/>
      <c r="B7" s="257"/>
      <c r="C7" s="500" t="s">
        <v>196</v>
      </c>
      <c r="D7" s="258"/>
      <c r="E7" s="258"/>
      <c r="F7" s="258"/>
      <c r="G7" s="258"/>
    </row>
    <row r="8" spans="1:7" s="173" customFormat="1" ht="15" customHeight="1">
      <c r="A8" s="170" t="s">
        <v>4</v>
      </c>
      <c r="B8" s="171"/>
      <c r="C8" s="172" t="s">
        <v>762</v>
      </c>
      <c r="D8" s="242">
        <f>SUM(D9:D16)</f>
        <v>0</v>
      </c>
      <c r="E8" s="242">
        <f t="shared" ref="E8:F8" si="0">SUM(E9:E16)</f>
        <v>0</v>
      </c>
      <c r="F8" s="242">
        <f t="shared" si="0"/>
        <v>0</v>
      </c>
      <c r="G8" s="242"/>
    </row>
    <row r="9" spans="1:7" s="173" customFormat="1" ht="15" customHeight="1">
      <c r="A9" s="181"/>
      <c r="B9" s="175" t="s">
        <v>102</v>
      </c>
      <c r="C9" s="19" t="s">
        <v>22</v>
      </c>
      <c r="D9" s="245"/>
      <c r="E9" s="245"/>
      <c r="F9" s="245"/>
      <c r="G9" s="245"/>
    </row>
    <row r="10" spans="1:7" s="173" customFormat="1" ht="15" customHeight="1">
      <c r="A10" s="174"/>
      <c r="B10" s="175" t="s">
        <v>104</v>
      </c>
      <c r="C10" s="15" t="s">
        <v>24</v>
      </c>
      <c r="D10" s="243"/>
      <c r="E10" s="243"/>
      <c r="F10" s="243"/>
      <c r="G10" s="243"/>
    </row>
    <row r="11" spans="1:7" s="173" customFormat="1" ht="15" customHeight="1">
      <c r="A11" s="174"/>
      <c r="B11" s="175" t="s">
        <v>106</v>
      </c>
      <c r="C11" s="15" t="s">
        <v>26</v>
      </c>
      <c r="D11" s="243"/>
      <c r="E11" s="243"/>
      <c r="F11" s="243"/>
      <c r="G11" s="243"/>
    </row>
    <row r="12" spans="1:7" s="173" customFormat="1" ht="15" customHeight="1">
      <c r="A12" s="174"/>
      <c r="B12" s="175" t="s">
        <v>108</v>
      </c>
      <c r="C12" s="15" t="s">
        <v>28</v>
      </c>
      <c r="D12" s="243"/>
      <c r="E12" s="243"/>
      <c r="F12" s="243"/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/>
      <c r="E13" s="243"/>
      <c r="F13" s="243"/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4"/>
      <c r="E14" s="244"/>
      <c r="F14" s="244"/>
      <c r="G14" s="244"/>
    </row>
    <row r="15" spans="1:7" s="177" customFormat="1" ht="15" customHeight="1">
      <c r="A15" s="174"/>
      <c r="B15" s="175" t="s">
        <v>437</v>
      </c>
      <c r="C15" s="15" t="s">
        <v>34</v>
      </c>
      <c r="D15" s="243"/>
      <c r="E15" s="243"/>
      <c r="F15" s="243"/>
      <c r="G15" s="243"/>
    </row>
    <row r="16" spans="1:7" s="177" customFormat="1" ht="15" customHeight="1">
      <c r="A16" s="183"/>
      <c r="B16" s="184" t="s">
        <v>439</v>
      </c>
      <c r="C16" s="22" t="s">
        <v>36</v>
      </c>
      <c r="D16" s="246"/>
      <c r="E16" s="246"/>
      <c r="F16" s="246"/>
      <c r="G16" s="246"/>
    </row>
    <row r="17" spans="1:9" s="173" customFormat="1" ht="15" customHeight="1">
      <c r="A17" s="170" t="s">
        <v>5</v>
      </c>
      <c r="B17" s="171"/>
      <c r="C17" s="211" t="s">
        <v>1635</v>
      </c>
      <c r="D17" s="242">
        <f>SUM(D18:D21)</f>
        <v>4268</v>
      </c>
      <c r="E17" s="242">
        <f t="shared" ref="E17:F17" si="1">SUM(E18:E21)</f>
        <v>4961</v>
      </c>
      <c r="F17" s="242">
        <f t="shared" si="1"/>
        <v>4961</v>
      </c>
      <c r="G17" s="242">
        <f>F17/E17*100</f>
        <v>100</v>
      </c>
    </row>
    <row r="18" spans="1:9" s="177" customFormat="1" ht="15" customHeight="1">
      <c r="A18" s="174"/>
      <c r="B18" s="175" t="s">
        <v>6</v>
      </c>
      <c r="C18" s="27" t="s">
        <v>1636</v>
      </c>
      <c r="D18" s="243">
        <v>4268</v>
      </c>
      <c r="E18" s="243">
        <v>4961</v>
      </c>
      <c r="F18" s="243">
        <v>4961</v>
      </c>
      <c r="G18" s="243">
        <f>F18/E18*100</f>
        <v>100</v>
      </c>
    </row>
    <row r="19" spans="1:9" s="177" customFormat="1" ht="15" customHeight="1">
      <c r="A19" s="174"/>
      <c r="B19" s="175" t="s">
        <v>8</v>
      </c>
      <c r="C19" s="15" t="s">
        <v>1637</v>
      </c>
      <c r="D19" s="243"/>
      <c r="E19" s="243"/>
      <c r="F19" s="243"/>
      <c r="G19" s="243"/>
    </row>
    <row r="20" spans="1:9" s="177" customFormat="1" ht="15" customHeight="1">
      <c r="A20" s="174"/>
      <c r="B20" s="175" t="s">
        <v>10</v>
      </c>
      <c r="C20" s="15" t="s">
        <v>766</v>
      </c>
      <c r="D20" s="243"/>
      <c r="E20" s="243"/>
      <c r="F20" s="243"/>
      <c r="G20" s="243"/>
    </row>
    <row r="21" spans="1:9" s="177" customFormat="1" ht="15" customHeight="1">
      <c r="A21" s="174"/>
      <c r="B21" s="175" t="s">
        <v>12</v>
      </c>
      <c r="C21" s="15" t="s">
        <v>767</v>
      </c>
      <c r="D21" s="243"/>
      <c r="E21" s="243"/>
      <c r="F21" s="243"/>
      <c r="G21" s="243"/>
    </row>
    <row r="22" spans="1:9" s="177" customFormat="1" ht="15" customHeight="1">
      <c r="A22" s="170" t="s">
        <v>19</v>
      </c>
      <c r="B22" s="12"/>
      <c r="C22" s="12" t="s">
        <v>768</v>
      </c>
      <c r="D22" s="209"/>
      <c r="E22" s="209"/>
      <c r="F22" s="209"/>
      <c r="G22" s="209"/>
    </row>
    <row r="23" spans="1:9" s="177" customFormat="1" ht="15" customHeight="1">
      <c r="A23" s="170" t="s">
        <v>149</v>
      </c>
      <c r="B23" s="12"/>
      <c r="C23" s="12" t="s">
        <v>769</v>
      </c>
      <c r="D23" s="243"/>
      <c r="E23" s="243"/>
      <c r="F23" s="243"/>
      <c r="G23" s="243"/>
    </row>
    <row r="24" spans="1:9" s="173" customFormat="1" ht="15" customHeight="1">
      <c r="A24" s="170" t="s">
        <v>38</v>
      </c>
      <c r="B24" s="171"/>
      <c r="C24" s="12" t="s">
        <v>770</v>
      </c>
      <c r="D24" s="243"/>
      <c r="E24" s="243"/>
      <c r="F24" s="243"/>
      <c r="G24" s="243"/>
    </row>
    <row r="25" spans="1:9" s="173" customFormat="1" ht="15" customHeight="1">
      <c r="A25" s="170" t="s">
        <v>48</v>
      </c>
      <c r="B25" s="198"/>
      <c r="C25" s="12" t="s">
        <v>771</v>
      </c>
      <c r="D25" s="254">
        <f>+D26+D27</f>
        <v>0</v>
      </c>
      <c r="E25" s="254">
        <f t="shared" ref="E25:F25" si="2">+E26+E27</f>
        <v>0</v>
      </c>
      <c r="F25" s="254">
        <f t="shared" si="2"/>
        <v>0</v>
      </c>
      <c r="G25" s="254"/>
    </row>
    <row r="26" spans="1:9" s="173" customFormat="1" ht="15" customHeight="1">
      <c r="A26" s="181"/>
      <c r="B26" s="188" t="s">
        <v>49</v>
      </c>
      <c r="C26" s="19" t="s">
        <v>772</v>
      </c>
      <c r="D26" s="243"/>
      <c r="E26" s="243"/>
      <c r="F26" s="243"/>
      <c r="G26" s="243"/>
    </row>
    <row r="27" spans="1:9" s="173" customFormat="1" ht="15" customHeight="1">
      <c r="A27" s="191"/>
      <c r="B27" s="192" t="s">
        <v>62</v>
      </c>
      <c r="C27" s="24" t="s">
        <v>773</v>
      </c>
      <c r="D27" s="243"/>
      <c r="E27" s="243"/>
      <c r="F27" s="243"/>
      <c r="G27" s="243"/>
    </row>
    <row r="28" spans="1:9" s="177" customFormat="1" ht="15" customHeight="1">
      <c r="A28" s="201" t="s">
        <v>178</v>
      </c>
      <c r="B28" s="202"/>
      <c r="C28" s="12" t="s">
        <v>274</v>
      </c>
      <c r="D28" s="243">
        <v>34161</v>
      </c>
      <c r="E28" s="243">
        <v>45888</v>
      </c>
      <c r="F28" s="243">
        <v>45888</v>
      </c>
      <c r="G28" s="243">
        <f>F28/E28*100</f>
        <v>100</v>
      </c>
      <c r="I28" s="190">
        <f>SUM(D46-D30)</f>
        <v>0</v>
      </c>
    </row>
    <row r="29" spans="1:9" s="177" customFormat="1" ht="15" customHeight="1">
      <c r="A29" s="201"/>
      <c r="B29" s="202"/>
      <c r="C29" s="12" t="s">
        <v>774</v>
      </c>
      <c r="D29" s="209"/>
      <c r="E29" s="209"/>
      <c r="F29" s="209"/>
      <c r="G29" s="209"/>
    </row>
    <row r="30" spans="1:9" s="177" customFormat="1" ht="15" customHeight="1">
      <c r="A30" s="256" t="s">
        <v>74</v>
      </c>
      <c r="B30" s="257"/>
      <c r="C30" s="467" t="s">
        <v>775</v>
      </c>
      <c r="D30" s="258">
        <f>SUM(D8,D17,D22,D23,D24,D25,D28)</f>
        <v>38429</v>
      </c>
      <c r="E30" s="258">
        <f t="shared" ref="E30:F30" si="3">SUM(E8,E17,E22,E23,E24,E25,E28)</f>
        <v>50849</v>
      </c>
      <c r="F30" s="258">
        <f t="shared" si="3"/>
        <v>50849</v>
      </c>
      <c r="G30" s="258">
        <f>F30/E30*100</f>
        <v>100</v>
      </c>
    </row>
    <row r="31" spans="1:9" ht="15" customHeight="1">
      <c r="A31" s="230"/>
      <c r="B31" s="231"/>
      <c r="C31" s="231"/>
      <c r="D31" s="503"/>
      <c r="E31" s="503"/>
      <c r="F31" s="503"/>
      <c r="G31" s="503"/>
    </row>
    <row r="32" spans="1:9" s="165" customFormat="1" ht="15" customHeight="1">
      <c r="A32" s="256"/>
      <c r="B32" s="257"/>
      <c r="C32" s="500" t="s">
        <v>197</v>
      </c>
      <c r="D32" s="258"/>
      <c r="E32" s="258"/>
      <c r="F32" s="258"/>
      <c r="G32" s="258"/>
    </row>
    <row r="33" spans="1:7" s="221" customFormat="1" ht="15" customHeight="1">
      <c r="A33" s="170" t="s">
        <v>4</v>
      </c>
      <c r="B33" s="12"/>
      <c r="C33" s="67" t="s">
        <v>101</v>
      </c>
      <c r="D33" s="242">
        <f>SUM(D34:D38)</f>
        <v>38429</v>
      </c>
      <c r="E33" s="242">
        <f t="shared" ref="E33:F33" si="4">SUM(E34:E38)</f>
        <v>50849</v>
      </c>
      <c r="F33" s="242">
        <f t="shared" si="4"/>
        <v>50849</v>
      </c>
      <c r="G33" s="242">
        <f>F33/E33*100</f>
        <v>100</v>
      </c>
    </row>
    <row r="34" spans="1:7" ht="15" customHeight="1">
      <c r="A34" s="193"/>
      <c r="B34" s="220" t="s">
        <v>102</v>
      </c>
      <c r="C34" s="27" t="s">
        <v>103</v>
      </c>
      <c r="D34" s="250">
        <v>26469</v>
      </c>
      <c r="E34" s="250">
        <v>38691</v>
      </c>
      <c r="F34" s="250">
        <v>38691</v>
      </c>
      <c r="G34" s="250">
        <f>F34/E34*100</f>
        <v>100</v>
      </c>
    </row>
    <row r="35" spans="1:7" ht="15" customHeight="1">
      <c r="A35" s="174"/>
      <c r="B35" s="189" t="s">
        <v>104</v>
      </c>
      <c r="C35" s="15" t="s">
        <v>105</v>
      </c>
      <c r="D35" s="243">
        <v>6957</v>
      </c>
      <c r="E35" s="243">
        <v>8649</v>
      </c>
      <c r="F35" s="243">
        <v>8649</v>
      </c>
      <c r="G35" s="243">
        <f>F35/E35*100</f>
        <v>100</v>
      </c>
    </row>
    <row r="36" spans="1:7" ht="15" customHeight="1">
      <c r="A36" s="174"/>
      <c r="B36" s="189" t="s">
        <v>106</v>
      </c>
      <c r="C36" s="15" t="s">
        <v>107</v>
      </c>
      <c r="D36" s="243">
        <v>5003</v>
      </c>
      <c r="E36" s="243">
        <v>3509</v>
      </c>
      <c r="F36" s="243">
        <v>3509</v>
      </c>
      <c r="G36" s="243">
        <f>F36/E36*100</f>
        <v>100</v>
      </c>
    </row>
    <row r="37" spans="1:7" ht="15" customHeight="1">
      <c r="A37" s="174"/>
      <c r="B37" s="189" t="s">
        <v>108</v>
      </c>
      <c r="C37" s="15" t="s">
        <v>109</v>
      </c>
      <c r="D37" s="243"/>
      <c r="E37" s="243"/>
      <c r="F37" s="243"/>
      <c r="G37" s="243"/>
    </row>
    <row r="38" spans="1:7" ht="15" customHeight="1">
      <c r="A38" s="174"/>
      <c r="B38" s="189" t="s">
        <v>110</v>
      </c>
      <c r="C38" s="15" t="s">
        <v>111</v>
      </c>
      <c r="D38" s="243"/>
      <c r="E38" s="243"/>
      <c r="F38" s="243"/>
      <c r="G38" s="243"/>
    </row>
    <row r="39" spans="1:7" ht="15" customHeight="1">
      <c r="A39" s="170" t="s">
        <v>5</v>
      </c>
      <c r="B39" s="12"/>
      <c r="C39" s="67" t="s">
        <v>787</v>
      </c>
      <c r="D39" s="242">
        <f>SUM(D40:D43)</f>
        <v>0</v>
      </c>
      <c r="E39" s="242">
        <f t="shared" ref="E39:F39" si="5">SUM(E40:E43)</f>
        <v>0</v>
      </c>
      <c r="F39" s="242">
        <f t="shared" si="5"/>
        <v>0</v>
      </c>
      <c r="G39" s="242"/>
    </row>
    <row r="40" spans="1:7" s="221" customFormat="1" ht="15" customHeight="1">
      <c r="A40" s="193"/>
      <c r="B40" s="220" t="s">
        <v>6</v>
      </c>
      <c r="C40" s="27" t="s">
        <v>780</v>
      </c>
      <c r="D40" s="250"/>
      <c r="E40" s="250"/>
      <c r="F40" s="250"/>
      <c r="G40" s="250"/>
    </row>
    <row r="41" spans="1:7" ht="15" customHeight="1">
      <c r="A41" s="174"/>
      <c r="B41" s="189" t="s">
        <v>8</v>
      </c>
      <c r="C41" s="15" t="s">
        <v>134</v>
      </c>
      <c r="D41" s="243"/>
      <c r="E41" s="243"/>
      <c r="F41" s="243"/>
      <c r="G41" s="243"/>
    </row>
    <row r="42" spans="1:7" ht="29.25" customHeight="1">
      <c r="A42" s="174"/>
      <c r="B42" s="189" t="s">
        <v>14</v>
      </c>
      <c r="C42" s="15" t="s">
        <v>137</v>
      </c>
      <c r="D42" s="243"/>
      <c r="E42" s="243"/>
      <c r="F42" s="243"/>
      <c r="G42" s="243"/>
    </row>
    <row r="43" spans="1:7" ht="15" customHeight="1">
      <c r="A43" s="174"/>
      <c r="B43" s="189" t="s">
        <v>18</v>
      </c>
      <c r="C43" s="15" t="s">
        <v>781</v>
      </c>
      <c r="D43" s="243"/>
      <c r="E43" s="243"/>
      <c r="F43" s="243"/>
      <c r="G43" s="243"/>
    </row>
    <row r="44" spans="1:7" ht="15" customHeight="1">
      <c r="A44" s="170" t="s">
        <v>19</v>
      </c>
      <c r="B44" s="12"/>
      <c r="C44" s="67" t="s">
        <v>782</v>
      </c>
      <c r="D44" s="209"/>
      <c r="E44" s="209"/>
      <c r="F44" s="209"/>
      <c r="G44" s="209"/>
    </row>
    <row r="45" spans="1:7" s="177" customFormat="1" ht="15" customHeight="1">
      <c r="A45" s="170"/>
      <c r="B45" s="12"/>
      <c r="C45" s="67" t="s">
        <v>783</v>
      </c>
      <c r="D45" s="209"/>
      <c r="E45" s="209"/>
      <c r="F45" s="209"/>
      <c r="G45" s="209"/>
    </row>
    <row r="46" spans="1:7" ht="15" customHeight="1">
      <c r="A46" s="256" t="s">
        <v>149</v>
      </c>
      <c r="B46" s="257"/>
      <c r="C46" s="467" t="s">
        <v>784</v>
      </c>
      <c r="D46" s="258">
        <f>+D33+D39+D44</f>
        <v>38429</v>
      </c>
      <c r="E46" s="258">
        <f t="shared" ref="E46:F46" si="6">+E33+E39+E44</f>
        <v>50849</v>
      </c>
      <c r="F46" s="258">
        <f t="shared" si="6"/>
        <v>50849</v>
      </c>
      <c r="G46" s="258">
        <f>F46/E46*100</f>
        <v>100</v>
      </c>
    </row>
    <row r="47" spans="1:7" ht="15" customHeight="1">
      <c r="A47" s="230"/>
      <c r="B47" s="231"/>
      <c r="C47" s="231"/>
      <c r="D47" s="231"/>
      <c r="E47" s="231"/>
      <c r="F47" s="231"/>
      <c r="G47" s="231"/>
    </row>
    <row r="48" spans="1:7" ht="15" customHeight="1">
      <c r="A48" s="232" t="s">
        <v>289</v>
      </c>
      <c r="B48" s="233"/>
      <c r="C48" s="234"/>
      <c r="D48" s="469">
        <v>9</v>
      </c>
      <c r="E48" s="469">
        <v>11</v>
      </c>
      <c r="F48" s="469">
        <v>9</v>
      </c>
      <c r="G48" s="469"/>
    </row>
    <row r="49" spans="1:7" ht="15" customHeight="1">
      <c r="A49" s="232" t="s">
        <v>290</v>
      </c>
      <c r="B49" s="233"/>
      <c r="C49" s="234"/>
      <c r="D49" s="469"/>
      <c r="E49" s="469"/>
      <c r="F49" s="469"/>
      <c r="G49" s="469"/>
    </row>
    <row r="50" spans="1:7" ht="15" customHeight="1"/>
  </sheetData>
  <sheetProtection selectLockedCells="1" selectUnlockedCells="1"/>
  <mergeCells count="5">
    <mergeCell ref="D1:G1"/>
    <mergeCell ref="A2:B2"/>
    <mergeCell ref="A3:B3"/>
    <mergeCell ref="A5:B5"/>
    <mergeCell ref="D4:G4"/>
  </mergeCells>
  <printOptions horizontalCentered="1"/>
  <pageMargins left="0.39370078740157483" right="0.31496062992125984" top="0.31496062992125984" bottom="0.35433070866141736" header="0.51181102362204722" footer="0.15748031496062992"/>
  <pageSetup paperSize="9" scale="72" firstPageNumber="58" orientation="portrait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view="pageBreakPreview" zoomScaleNormal="120" zoomScaleSheetLayoutView="100" workbookViewId="0">
      <selection activeCell="J44" sqref="J44"/>
    </sheetView>
  </sheetViews>
  <sheetFormatPr defaultRowHeight="15.75"/>
  <cols>
    <col min="1" max="1" width="9.1640625" style="1" customWidth="1"/>
    <col min="2" max="2" width="46.33203125" style="2" customWidth="1"/>
    <col min="3" max="3" width="14.5" style="2" customWidth="1"/>
    <col min="4" max="4" width="14.33203125" style="2" customWidth="1"/>
    <col min="5" max="5" width="14.1640625" style="2" customWidth="1"/>
    <col min="6" max="6" width="8.1640625" style="2" customWidth="1"/>
    <col min="7" max="7" width="9" style="2" customWidth="1"/>
    <col min="8" max="8" width="9.33203125" style="2" customWidth="1"/>
    <col min="9" max="9" width="14.5" style="2" customWidth="1"/>
    <col min="10" max="10" width="13.83203125" style="2" customWidth="1"/>
    <col min="11" max="11" width="14.1640625" style="2" customWidth="1"/>
    <col min="12" max="12" width="9.33203125" style="2" customWidth="1"/>
    <col min="13" max="16384" width="9.33203125" style="2"/>
  </cols>
  <sheetData>
    <row r="1" spans="1:7" ht="9" customHeight="1"/>
    <row r="2" spans="1:7" ht="45" customHeight="1">
      <c r="A2" s="3" t="s">
        <v>0</v>
      </c>
      <c r="B2" s="4" t="s">
        <v>1</v>
      </c>
      <c r="C2" s="741" t="s">
        <v>1267</v>
      </c>
      <c r="D2" s="825" t="s">
        <v>1921</v>
      </c>
      <c r="E2" s="5" t="s">
        <v>1924</v>
      </c>
      <c r="F2" s="741" t="s">
        <v>2</v>
      </c>
      <c r="G2" s="6"/>
    </row>
    <row r="3" spans="1:7" s="6" customFormat="1" ht="19.5" customHeight="1">
      <c r="A3" s="1801" t="s">
        <v>3</v>
      </c>
      <c r="B3" s="1801"/>
      <c r="C3" s="1801"/>
      <c r="D3" s="7"/>
      <c r="E3" s="7"/>
      <c r="F3" s="7"/>
    </row>
    <row r="4" spans="1:7" s="11" customFormat="1" ht="32.25" customHeight="1">
      <c r="A4" s="8" t="s">
        <v>4</v>
      </c>
      <c r="B4" s="9" t="s">
        <v>1529</v>
      </c>
      <c r="C4" s="10">
        <f>+C5+C14+C23+C24+C35</f>
        <v>2914996</v>
      </c>
      <c r="D4" s="10">
        <f t="shared" ref="D4:E4" si="0">+D5+D14+D23+D24+D35</f>
        <v>3216548</v>
      </c>
      <c r="E4" s="10">
        <f t="shared" si="0"/>
        <v>3341598</v>
      </c>
      <c r="F4" s="10">
        <f>E4/D4*100</f>
        <v>103.88770818902748</v>
      </c>
      <c r="G4" s="6"/>
    </row>
    <row r="5" spans="1:7" s="11" customFormat="1" ht="30.75" customHeight="1">
      <c r="A5" s="3" t="s">
        <v>5</v>
      </c>
      <c r="B5" s="12" t="s">
        <v>1528</v>
      </c>
      <c r="C5" s="13">
        <f>SUM(C6:C11)</f>
        <v>1625000</v>
      </c>
      <c r="D5" s="13">
        <f>SUM(D6:D13)</f>
        <v>1681447</v>
      </c>
      <c r="E5" s="13">
        <f>SUM(E6:E13)</f>
        <v>1801946</v>
      </c>
      <c r="F5" s="13">
        <f t="shared" ref="F5:F62" si="1">E5/D5*100</f>
        <v>107.16638704639516</v>
      </c>
    </row>
    <row r="6" spans="1:7" s="11" customFormat="1" ht="15" customHeight="1">
      <c r="A6" s="14" t="s">
        <v>6</v>
      </c>
      <c r="B6" s="15" t="s">
        <v>7</v>
      </c>
      <c r="C6" s="16">
        <f>SUM('2. sz. mell '!D9)</f>
        <v>1515000</v>
      </c>
      <c r="D6" s="16">
        <f>SUM('2. sz. mell '!E9)</f>
        <v>1592031</v>
      </c>
      <c r="E6" s="16">
        <f>SUM('2. sz. mell '!F9)</f>
        <v>1700223</v>
      </c>
      <c r="F6" s="16">
        <f t="shared" si="1"/>
        <v>106.79584756829483</v>
      </c>
    </row>
    <row r="7" spans="1:7" s="11" customFormat="1" ht="15" customHeight="1">
      <c r="A7" s="14" t="s">
        <v>8</v>
      </c>
      <c r="B7" s="15" t="s">
        <v>9</v>
      </c>
      <c r="C7" s="16">
        <f>SUM('2. sz. mell '!D10)</f>
        <v>0</v>
      </c>
      <c r="D7" s="16">
        <f>SUM('2. sz. mell '!E10)</f>
        <v>0</v>
      </c>
      <c r="E7" s="16">
        <f>SUM('2. sz. mell '!F10)</f>
        <v>0</v>
      </c>
      <c r="F7" s="16"/>
    </row>
    <row r="8" spans="1:7" s="11" customFormat="1" ht="15" customHeight="1">
      <c r="A8" s="14" t="s">
        <v>10</v>
      </c>
      <c r="B8" s="15" t="s">
        <v>11</v>
      </c>
      <c r="C8" s="16">
        <f>SUM('2. sz. mell '!D11)</f>
        <v>100000</v>
      </c>
      <c r="D8" s="16">
        <f>SUM('2. sz. mell '!E11)</f>
        <v>79116</v>
      </c>
      <c r="E8" s="16">
        <f>SUM('2. sz. mell '!F11)</f>
        <v>79116</v>
      </c>
      <c r="F8" s="16">
        <f t="shared" si="1"/>
        <v>100</v>
      </c>
    </row>
    <row r="9" spans="1:7" s="11" customFormat="1" ht="15" customHeight="1">
      <c r="A9" s="14" t="s">
        <v>12</v>
      </c>
      <c r="B9" s="15" t="s">
        <v>13</v>
      </c>
      <c r="C9" s="16">
        <f>SUM('2. sz. mell '!D12)</f>
        <v>10000</v>
      </c>
      <c r="D9" s="16">
        <f>SUM('2. sz. mell '!E12)</f>
        <v>10062</v>
      </c>
      <c r="E9" s="16">
        <f>SUM('2. sz. mell '!F12)</f>
        <v>21992</v>
      </c>
      <c r="F9" s="16">
        <f t="shared" si="1"/>
        <v>218.56489763466507</v>
      </c>
    </row>
    <row r="10" spans="1:7" s="11" customFormat="1" ht="15" customHeight="1">
      <c r="A10" s="14" t="s">
        <v>14</v>
      </c>
      <c r="B10" s="15" t="s">
        <v>15</v>
      </c>
      <c r="C10" s="16">
        <f>SUM('2. sz. mell '!D13)</f>
        <v>0</v>
      </c>
      <c r="D10" s="16">
        <f>SUM('2. sz. mell '!E13)</f>
        <v>0</v>
      </c>
      <c r="E10" s="16">
        <f>SUM('2. sz. mell '!F13)</f>
        <v>0</v>
      </c>
      <c r="F10" s="16"/>
    </row>
    <row r="11" spans="1:7" s="11" customFormat="1" ht="15" customHeight="1">
      <c r="A11" s="14" t="s">
        <v>16</v>
      </c>
      <c r="B11" s="15" t="s">
        <v>17</v>
      </c>
      <c r="C11" s="16">
        <f>SUM('2. sz. mell '!D14)</f>
        <v>0</v>
      </c>
      <c r="D11" s="16">
        <f>SUM('2. sz. mell '!E14)</f>
        <v>0</v>
      </c>
      <c r="E11" s="16">
        <f>SUM('2. sz. mell '!F14)</f>
        <v>0</v>
      </c>
      <c r="F11" s="16"/>
    </row>
    <row r="12" spans="1:7" s="11" customFormat="1" ht="15" customHeight="1">
      <c r="A12" s="14" t="s">
        <v>18</v>
      </c>
      <c r="B12" s="15" t="s">
        <v>15</v>
      </c>
      <c r="C12" s="16">
        <f>SUM('2. sz. mell '!D15)</f>
        <v>0</v>
      </c>
      <c r="D12" s="16">
        <f>SUM('2. sz. mell '!E15)</f>
        <v>238</v>
      </c>
      <c r="E12" s="16">
        <f>SUM('2. sz. mell '!F15)</f>
        <v>238</v>
      </c>
      <c r="F12" s="16"/>
    </row>
    <row r="13" spans="1:7" s="11" customFormat="1" ht="15" customHeight="1" thickBot="1">
      <c r="A13" s="14" t="s">
        <v>494</v>
      </c>
      <c r="B13" s="22" t="s">
        <v>200</v>
      </c>
      <c r="C13" s="37"/>
      <c r="D13" s="37">
        <f>'2. sz. mell '!E16</f>
        <v>0</v>
      </c>
      <c r="E13" s="37">
        <f>'2. sz. mell '!F16</f>
        <v>377</v>
      </c>
      <c r="F13" s="16" t="e">
        <f t="shared" si="1"/>
        <v>#DIV/0!</v>
      </c>
    </row>
    <row r="14" spans="1:7" s="11" customFormat="1" ht="29.25" thickBot="1">
      <c r="A14" s="3" t="s">
        <v>19</v>
      </c>
      <c r="B14" s="12" t="s">
        <v>20</v>
      </c>
      <c r="C14" s="17">
        <f>SUM(C15:C22)</f>
        <v>315822</v>
      </c>
      <c r="D14" s="17">
        <f t="shared" ref="D14:E14" si="2">SUM(D15:D22)</f>
        <v>409773</v>
      </c>
      <c r="E14" s="17">
        <f t="shared" si="2"/>
        <v>414085</v>
      </c>
      <c r="F14" s="17">
        <f t="shared" si="1"/>
        <v>101.05228992637387</v>
      </c>
    </row>
    <row r="15" spans="1:7" s="11" customFormat="1" ht="15" customHeight="1">
      <c r="A15" s="18" t="s">
        <v>21</v>
      </c>
      <c r="B15" s="19" t="s">
        <v>22</v>
      </c>
      <c r="C15" s="20">
        <f>SUM('2. sz. mell '!D18)</f>
        <v>0</v>
      </c>
      <c r="D15" s="20">
        <f>SUM('2. sz. mell '!E18)</f>
        <v>0</v>
      </c>
      <c r="E15" s="20">
        <f>SUM('2. sz. mell '!F18)</f>
        <v>0</v>
      </c>
      <c r="F15" s="20"/>
    </row>
    <row r="16" spans="1:7" s="11" customFormat="1" ht="15" customHeight="1">
      <c r="A16" s="14" t="s">
        <v>23</v>
      </c>
      <c r="B16" s="15" t="s">
        <v>24</v>
      </c>
      <c r="C16" s="16">
        <f>SUM('2. sz. mell '!D19)</f>
        <v>200360</v>
      </c>
      <c r="D16" s="16">
        <f>SUM('2. sz. mell '!E19)</f>
        <v>269549</v>
      </c>
      <c r="E16" s="16">
        <f>SUM('2. sz. mell '!F19)</f>
        <v>270452</v>
      </c>
      <c r="F16" s="16">
        <f t="shared" si="1"/>
        <v>100.33500402524216</v>
      </c>
    </row>
    <row r="17" spans="1:6" s="11" customFormat="1" ht="15" customHeight="1">
      <c r="A17" s="14" t="s">
        <v>25</v>
      </c>
      <c r="B17" s="15" t="s">
        <v>26</v>
      </c>
      <c r="C17" s="16">
        <f>SUM('2. sz. mell '!D20)</f>
        <v>55503</v>
      </c>
      <c r="D17" s="16">
        <f>SUM('2. sz. mell '!E20)</f>
        <v>54315</v>
      </c>
      <c r="E17" s="16">
        <f>SUM('2. sz. mell '!F20)</f>
        <v>54967</v>
      </c>
      <c r="F17" s="16">
        <f t="shared" si="1"/>
        <v>101.20040504464696</v>
      </c>
    </row>
    <row r="18" spans="1:6" s="11" customFormat="1" ht="15" customHeight="1">
      <c r="A18" s="14" t="s">
        <v>27</v>
      </c>
      <c r="B18" s="15" t="s">
        <v>28</v>
      </c>
      <c r="C18" s="16">
        <f>SUM('2. sz. mell '!D21)</f>
        <v>2571</v>
      </c>
      <c r="D18" s="16">
        <f>SUM('2. sz. mell '!E21)</f>
        <v>1931</v>
      </c>
      <c r="E18" s="16">
        <f>SUM('2. sz. mell '!F21)</f>
        <v>1931</v>
      </c>
      <c r="F18" s="16">
        <f t="shared" si="1"/>
        <v>100</v>
      </c>
    </row>
    <row r="19" spans="1:6" s="11" customFormat="1" ht="15" customHeight="1">
      <c r="A19" s="21" t="s">
        <v>29</v>
      </c>
      <c r="B19" s="22" t="s">
        <v>30</v>
      </c>
      <c r="C19" s="16">
        <f>SUM('2. sz. mell '!D22)</f>
        <v>907</v>
      </c>
      <c r="D19" s="16">
        <f>SUM('2. sz. mell '!E22)</f>
        <v>1142</v>
      </c>
      <c r="E19" s="16">
        <f>SUM('2. sz. mell '!F22)</f>
        <v>1142</v>
      </c>
      <c r="F19" s="16">
        <f t="shared" si="1"/>
        <v>100</v>
      </c>
    </row>
    <row r="20" spans="1:6" s="11" customFormat="1" ht="15" customHeight="1">
      <c r="A20" s="14" t="s">
        <v>31</v>
      </c>
      <c r="B20" s="15" t="s">
        <v>32</v>
      </c>
      <c r="C20" s="16">
        <f>SUM('2. sz. mell '!D23)</f>
        <v>56481</v>
      </c>
      <c r="D20" s="16">
        <f>SUM('2. sz. mell '!E23)</f>
        <v>74978</v>
      </c>
      <c r="E20" s="16">
        <f>SUM('2. sz. mell '!F23)</f>
        <v>74978</v>
      </c>
      <c r="F20" s="16">
        <f t="shared" si="1"/>
        <v>100</v>
      </c>
    </row>
    <row r="21" spans="1:6" s="11" customFormat="1" ht="15" customHeight="1">
      <c r="A21" s="14" t="s">
        <v>33</v>
      </c>
      <c r="B21" s="15" t="s">
        <v>34</v>
      </c>
      <c r="C21" s="16">
        <f>SUM('2. sz. mell '!D24)</f>
        <v>0</v>
      </c>
      <c r="D21" s="16">
        <f>SUM('2. sz. mell '!E24)</f>
        <v>986</v>
      </c>
      <c r="E21" s="16">
        <f>SUM('2. sz. mell '!F24)</f>
        <v>3743</v>
      </c>
      <c r="F21" s="16">
        <f t="shared" si="1"/>
        <v>379.61460446247463</v>
      </c>
    </row>
    <row r="22" spans="1:6" s="11" customFormat="1" ht="15" customHeight="1" thickBot="1">
      <c r="A22" s="23" t="s">
        <v>35</v>
      </c>
      <c r="B22" s="24" t="s">
        <v>36</v>
      </c>
      <c r="C22" s="16">
        <f>SUM('2. sz. mell '!D25)</f>
        <v>0</v>
      </c>
      <c r="D22" s="16">
        <f>SUM('2. sz. mell '!E25)</f>
        <v>6872</v>
      </c>
      <c r="E22" s="16">
        <f>SUM('2. sz. mell '!F25)</f>
        <v>6872</v>
      </c>
      <c r="F22" s="16">
        <f t="shared" si="1"/>
        <v>100</v>
      </c>
    </row>
    <row r="23" spans="1:6" s="11" customFormat="1" ht="15" hidden="1" customHeight="1">
      <c r="A23" s="3"/>
      <c r="B23" s="12"/>
      <c r="C23" s="25">
        <f>SUM('2. sz. mell '!D26)</f>
        <v>0</v>
      </c>
      <c r="D23" s="25">
        <f>SUM('2. sz. mell '!E26)</f>
        <v>0</v>
      </c>
      <c r="E23" s="25">
        <f>SUM('2. sz. mell '!F26)</f>
        <v>0</v>
      </c>
      <c r="F23" s="25"/>
    </row>
    <row r="24" spans="1:6" s="11" customFormat="1" ht="30" thickBot="1">
      <c r="A24" s="3" t="s">
        <v>149</v>
      </c>
      <c r="B24" s="12" t="s">
        <v>1567</v>
      </c>
      <c r="C24" s="17">
        <f>SUM(C25:C32)</f>
        <v>526670</v>
      </c>
      <c r="D24" s="17">
        <f t="shared" ref="D24:E24" si="3">SUM(D25:D32)</f>
        <v>636755</v>
      </c>
      <c r="E24" s="17">
        <f t="shared" si="3"/>
        <v>636755</v>
      </c>
      <c r="F24" s="17">
        <f t="shared" si="1"/>
        <v>100</v>
      </c>
    </row>
    <row r="25" spans="1:6" s="11" customFormat="1" ht="15" customHeight="1">
      <c r="A25" s="26" t="s">
        <v>151</v>
      </c>
      <c r="B25" s="27" t="s">
        <v>1519</v>
      </c>
      <c r="C25" s="28">
        <f>SUM('2. sz. mell '!D58)</f>
        <v>517641</v>
      </c>
      <c r="D25" s="28">
        <f>SUM('2. sz. mell '!E58)</f>
        <v>624348</v>
      </c>
      <c r="E25" s="28">
        <f>SUM('2. sz. mell '!F58)</f>
        <v>624348</v>
      </c>
      <c r="F25" s="28">
        <f t="shared" si="1"/>
        <v>100</v>
      </c>
    </row>
    <row r="26" spans="1:6" s="11" customFormat="1" ht="29.25" customHeight="1">
      <c r="A26" s="26" t="s">
        <v>153</v>
      </c>
      <c r="B26" s="15" t="s">
        <v>41</v>
      </c>
      <c r="C26" s="28">
        <f>SUM('2. sz. mell '!D59)</f>
        <v>0</v>
      </c>
      <c r="D26" s="28">
        <f>SUM('2. sz. mell '!E59)</f>
        <v>0</v>
      </c>
      <c r="E26" s="28">
        <f>SUM('2. sz. mell '!F59)</f>
        <v>0</v>
      </c>
      <c r="F26" s="28" t="e">
        <f t="shared" si="1"/>
        <v>#DIV/0!</v>
      </c>
    </row>
    <row r="27" spans="1:6" s="11" customFormat="1" ht="15" customHeight="1">
      <c r="A27" s="26" t="s">
        <v>155</v>
      </c>
      <c r="B27" s="15" t="s">
        <v>42</v>
      </c>
      <c r="C27" s="28">
        <f>SUM('2. sz. mell '!D60)</f>
        <v>9029</v>
      </c>
      <c r="D27" s="28">
        <f>SUM('2. sz. mell '!E60)</f>
        <v>12407</v>
      </c>
      <c r="E27" s="28">
        <f>SUM('2. sz. mell '!F60)</f>
        <v>12407</v>
      </c>
      <c r="F27" s="28">
        <f t="shared" si="1"/>
        <v>100</v>
      </c>
    </row>
    <row r="28" spans="1:6" s="11" customFormat="1" ht="15" customHeight="1">
      <c r="A28" s="26" t="s">
        <v>1047</v>
      </c>
      <c r="B28" s="15" t="s">
        <v>43</v>
      </c>
      <c r="C28" s="28">
        <f>SUM('2. sz. mell '!D61)</f>
        <v>0</v>
      </c>
      <c r="D28" s="28">
        <f>SUM('2. sz. mell '!E61)</f>
        <v>0</v>
      </c>
      <c r="E28" s="28">
        <f>SUM('2. sz. mell '!F61)</f>
        <v>0</v>
      </c>
      <c r="F28" s="28"/>
    </row>
    <row r="29" spans="1:6" s="11" customFormat="1" ht="29.25" customHeight="1">
      <c r="A29" s="26" t="s">
        <v>1048</v>
      </c>
      <c r="B29" s="15" t="s">
        <v>44</v>
      </c>
      <c r="C29" s="28">
        <f>SUM('2. sz. mell '!D62)</f>
        <v>0</v>
      </c>
      <c r="D29" s="28">
        <f>SUM('2. sz. mell '!E62)</f>
        <v>0</v>
      </c>
      <c r="E29" s="28">
        <f>SUM('2. sz. mell '!F62)</f>
        <v>0</v>
      </c>
      <c r="F29" s="28"/>
    </row>
    <row r="30" spans="1:6" s="11" customFormat="1" ht="15" customHeight="1">
      <c r="A30" s="26" t="s">
        <v>1049</v>
      </c>
      <c r="B30" s="15" t="s">
        <v>45</v>
      </c>
      <c r="C30" s="28">
        <f>SUM('2. sz. mell '!D63)</f>
        <v>0</v>
      </c>
      <c r="D30" s="28">
        <f>SUM('2. sz. mell '!E63)</f>
        <v>0</v>
      </c>
      <c r="E30" s="28">
        <f>SUM('2. sz. mell '!F63)</f>
        <v>0</v>
      </c>
      <c r="F30" s="28"/>
    </row>
    <row r="31" spans="1:6" s="11" customFormat="1" ht="29.25" customHeight="1">
      <c r="A31" s="26" t="s">
        <v>1204</v>
      </c>
      <c r="B31" s="15" t="s">
        <v>46</v>
      </c>
      <c r="C31" s="28">
        <f>SUM('2. sz. mell '!D64)</f>
        <v>0</v>
      </c>
      <c r="D31" s="28">
        <f>SUM('2. sz. mell '!E64)</f>
        <v>0</v>
      </c>
      <c r="E31" s="28">
        <f>SUM('2. sz. mell '!F64)</f>
        <v>0</v>
      </c>
      <c r="F31" s="28"/>
    </row>
    <row r="32" spans="1:6" s="11" customFormat="1" ht="15" customHeight="1">
      <c r="A32" s="26" t="s">
        <v>1235</v>
      </c>
      <c r="B32" s="15" t="s">
        <v>47</v>
      </c>
      <c r="C32" s="28">
        <f>SUM('2. sz. mell '!D65)</f>
        <v>0</v>
      </c>
      <c r="D32" s="28">
        <f>SUM('2. sz. mell '!E65)</f>
        <v>0</v>
      </c>
      <c r="E32" s="28">
        <f>SUM('2. sz. mell '!F65)</f>
        <v>0</v>
      </c>
      <c r="F32" s="28" t="e">
        <f t="shared" si="1"/>
        <v>#DIV/0!</v>
      </c>
    </row>
    <row r="33" spans="1:6" s="11" customFormat="1" ht="15" customHeight="1" thickBot="1">
      <c r="A33" s="21"/>
      <c r="B33" s="22" t="s">
        <v>2060</v>
      </c>
      <c r="C33" s="37"/>
      <c r="D33" s="37"/>
      <c r="E33" s="37"/>
      <c r="F33" s="37"/>
    </row>
    <row r="34" spans="1:6" s="11" customFormat="1" ht="30.75" customHeight="1" thickBot="1">
      <c r="A34" s="3" t="s">
        <v>38</v>
      </c>
      <c r="B34" s="12" t="s">
        <v>1568</v>
      </c>
      <c r="C34" s="17">
        <f>+C35+C44</f>
        <v>604699</v>
      </c>
      <c r="D34" s="17">
        <f t="shared" ref="D34:E34" si="4">+D35+D44</f>
        <v>489515</v>
      </c>
      <c r="E34" s="17">
        <f t="shared" si="4"/>
        <v>489754</v>
      </c>
      <c r="F34" s="17">
        <f t="shared" si="1"/>
        <v>100.04882383583751</v>
      </c>
    </row>
    <row r="35" spans="1:6" s="11" customFormat="1" ht="31.5" customHeight="1">
      <c r="A35" s="26" t="s">
        <v>39</v>
      </c>
      <c r="B35" s="30" t="s">
        <v>1536</v>
      </c>
      <c r="C35" s="31">
        <f>SUM('2. sz. mell '!D28)</f>
        <v>447504</v>
      </c>
      <c r="D35" s="31">
        <f>SUM('2. sz. mell '!E28)</f>
        <v>488573</v>
      </c>
      <c r="E35" s="31">
        <f>SUM('2. sz. mell '!F28)</f>
        <v>488812</v>
      </c>
      <c r="F35" s="31">
        <f t="shared" si="1"/>
        <v>100.04891797131647</v>
      </c>
    </row>
    <row r="36" spans="1:6" s="11" customFormat="1" ht="30.75" customHeight="1">
      <c r="A36" s="14" t="s">
        <v>1530</v>
      </c>
      <c r="B36" s="32" t="s">
        <v>51</v>
      </c>
      <c r="C36" s="31">
        <f>SUM('2. sz. mell '!D29)</f>
        <v>442256</v>
      </c>
      <c r="D36" s="31">
        <f>SUM('2. sz. mell '!E29)</f>
        <v>420756</v>
      </c>
      <c r="E36" s="31">
        <f>SUM('2. sz. mell '!F29)</f>
        <v>415579</v>
      </c>
      <c r="F36" s="31">
        <f t="shared" si="1"/>
        <v>98.769595680156669</v>
      </c>
    </row>
    <row r="37" spans="1:6" s="11" customFormat="1" ht="27" customHeight="1">
      <c r="A37" s="14" t="s">
        <v>1531</v>
      </c>
      <c r="B37" s="32" t="s">
        <v>53</v>
      </c>
      <c r="C37" s="31">
        <f>SUM('2. sz. mell '!D30)</f>
        <v>0</v>
      </c>
      <c r="D37" s="31">
        <f>SUM('2. sz. mell '!E30)</f>
        <v>15235</v>
      </c>
      <c r="E37" s="31">
        <f>SUM('2. sz. mell '!F30)</f>
        <v>17421</v>
      </c>
      <c r="F37" s="31"/>
    </row>
    <row r="38" spans="1:6" s="11" customFormat="1" ht="32.25" customHeight="1">
      <c r="A38" s="14" t="s">
        <v>1532</v>
      </c>
      <c r="B38" s="32" t="s">
        <v>55</v>
      </c>
      <c r="C38" s="31">
        <f>SUM('2. sz. mell '!D31)</f>
        <v>0</v>
      </c>
      <c r="D38" s="31">
        <f>SUM('2. sz. mell '!E31)</f>
        <v>0</v>
      </c>
      <c r="E38" s="31">
        <f>SUM('2. sz. mell '!F31)</f>
        <v>3230</v>
      </c>
      <c r="F38" s="31" t="e">
        <f t="shared" si="1"/>
        <v>#DIV/0!</v>
      </c>
    </row>
    <row r="39" spans="1:6" s="11" customFormat="1" ht="15" customHeight="1">
      <c r="A39" s="14" t="s">
        <v>1533</v>
      </c>
      <c r="B39" s="32" t="s">
        <v>57</v>
      </c>
      <c r="C39" s="31">
        <f>SUM('2. sz. mell '!D32)</f>
        <v>0</v>
      </c>
      <c r="D39" s="31">
        <f>SUM('2. sz. mell '!E32)</f>
        <v>176</v>
      </c>
      <c r="E39" s="31">
        <f>SUM('2. sz. mell '!F32)</f>
        <v>176</v>
      </c>
      <c r="F39" s="31"/>
    </row>
    <row r="40" spans="1:6" s="11" customFormat="1" ht="33" customHeight="1">
      <c r="A40" s="14" t="s">
        <v>1534</v>
      </c>
      <c r="B40" s="32" t="s">
        <v>1520</v>
      </c>
      <c r="C40" s="31">
        <f>SUM('2. sz. mell '!D33)</f>
        <v>5248</v>
      </c>
      <c r="D40" s="31">
        <f>SUM('2. sz. mell '!E33)</f>
        <v>0</v>
      </c>
      <c r="E40" s="31">
        <f>SUM('2. sz. mell '!F33)</f>
        <v>0</v>
      </c>
      <c r="F40" s="31" t="e">
        <f t="shared" si="1"/>
        <v>#DIV/0!</v>
      </c>
    </row>
    <row r="41" spans="1:6" s="11" customFormat="1" ht="27" customHeight="1">
      <c r="A41" s="14" t="s">
        <v>1535</v>
      </c>
      <c r="B41" s="32" t="s">
        <v>61</v>
      </c>
      <c r="C41" s="31">
        <f>SUM('2. sz. mell '!D34)</f>
        <v>0</v>
      </c>
      <c r="D41" s="31">
        <f>SUM('2. sz. mell '!E34)</f>
        <v>42885</v>
      </c>
      <c r="E41" s="31">
        <f>SUM('2. sz. mell '!F34)</f>
        <v>42885</v>
      </c>
      <c r="F41" s="31">
        <f>E41/D41*100</f>
        <v>100</v>
      </c>
    </row>
    <row r="42" spans="1:6" s="11" customFormat="1" ht="27" customHeight="1">
      <c r="A42" s="14" t="s">
        <v>1916</v>
      </c>
      <c r="B42" s="1229" t="s">
        <v>1915</v>
      </c>
      <c r="C42" s="1230">
        <f>SUM('2. sz. mell '!D35)</f>
        <v>0</v>
      </c>
      <c r="D42" s="1230">
        <f>SUM('2. sz. mell '!E35)</f>
        <v>50</v>
      </c>
      <c r="E42" s="1230">
        <f>SUM('2. sz. mell '!F35)</f>
        <v>50</v>
      </c>
      <c r="F42" s="1230"/>
    </row>
    <row r="43" spans="1:6" s="11" customFormat="1" ht="27" customHeight="1">
      <c r="A43" s="14" t="s">
        <v>2460</v>
      </c>
      <c r="B43" s="32" t="s">
        <v>2060</v>
      </c>
      <c r="C43" s="1760"/>
      <c r="D43" s="1760">
        <f>SUM('2. sz. mell '!E36)</f>
        <v>9471</v>
      </c>
      <c r="E43" s="1760">
        <f>SUM('2. sz. mell '!F36)</f>
        <v>9471</v>
      </c>
      <c r="F43" s="1760"/>
    </row>
    <row r="44" spans="1:6" s="11" customFormat="1" ht="30" customHeight="1">
      <c r="A44" s="14" t="s">
        <v>40</v>
      </c>
      <c r="B44" s="30" t="s">
        <v>1537</v>
      </c>
      <c r="C44" s="31">
        <f>SUM(C45:C49)</f>
        <v>157195</v>
      </c>
      <c r="D44" s="31">
        <f t="shared" ref="D44:E44" si="5">SUM(D45:D49)</f>
        <v>942</v>
      </c>
      <c r="E44" s="31">
        <f t="shared" si="5"/>
        <v>942</v>
      </c>
      <c r="F44" s="31"/>
    </row>
    <row r="45" spans="1:6" s="11" customFormat="1" ht="30.75" customHeight="1">
      <c r="A45" s="14" t="s">
        <v>1538</v>
      </c>
      <c r="B45" s="32" t="s">
        <v>51</v>
      </c>
      <c r="C45" s="31">
        <f>SUM('2. sz. mell '!D38)</f>
        <v>0</v>
      </c>
      <c r="D45" s="31">
        <f>SUM('2. sz. mell '!E38)</f>
        <v>0</v>
      </c>
      <c r="E45" s="31">
        <f>SUM('2. sz. mell '!F38)</f>
        <v>0</v>
      </c>
      <c r="F45" s="31"/>
    </row>
    <row r="46" spans="1:6" s="11" customFormat="1" ht="30.75" customHeight="1">
      <c r="A46" s="14" t="s">
        <v>1539</v>
      </c>
      <c r="B46" s="32" t="s">
        <v>53</v>
      </c>
      <c r="C46" s="31">
        <f>SUM('2. sz. mell '!D39)</f>
        <v>0</v>
      </c>
      <c r="D46" s="31">
        <f>SUM('2. sz. mell '!E39)</f>
        <v>0</v>
      </c>
      <c r="E46" s="31">
        <f>SUM('2. sz. mell '!F39)</f>
        <v>0</v>
      </c>
      <c r="F46" s="31"/>
    </row>
    <row r="47" spans="1:6" s="11" customFormat="1" ht="27" customHeight="1">
      <c r="A47" s="14" t="s">
        <v>1540</v>
      </c>
      <c r="B47" s="32" t="s">
        <v>55</v>
      </c>
      <c r="C47" s="31">
        <f>SUM('2. sz. mell '!D40)</f>
        <v>0</v>
      </c>
      <c r="D47" s="31">
        <f>SUM('2. sz. mell '!E40)</f>
        <v>0</v>
      </c>
      <c r="E47" s="31">
        <f>SUM('2. sz. mell '!F40)</f>
        <v>0</v>
      </c>
      <c r="F47" s="31"/>
    </row>
    <row r="48" spans="1:6" s="11" customFormat="1" ht="15" customHeight="1">
      <c r="A48" s="14" t="s">
        <v>1541</v>
      </c>
      <c r="B48" s="32" t="s">
        <v>57</v>
      </c>
      <c r="C48" s="31">
        <f>SUM('2. sz. mell '!D41)</f>
        <v>157195</v>
      </c>
      <c r="D48" s="31">
        <f>SUM('2. sz. mell '!E41)</f>
        <v>942</v>
      </c>
      <c r="E48" s="31">
        <f>SUM('2. sz. mell '!F41)</f>
        <v>942</v>
      </c>
      <c r="F48" s="31"/>
    </row>
    <row r="49" spans="1:8" s="11" customFormat="1" ht="27.75" customHeight="1" thickBot="1">
      <c r="A49" s="14" t="s">
        <v>1542</v>
      </c>
      <c r="B49" s="34" t="s">
        <v>1521</v>
      </c>
      <c r="C49" s="35">
        <f>SUM('2. sz. mell '!D42)</f>
        <v>0</v>
      </c>
      <c r="D49" s="35">
        <f>SUM('2. sz. mell '!E42)+'2. sz. mell '!E52</f>
        <v>0</v>
      </c>
      <c r="E49" s="35">
        <f>SUM('2. sz. mell '!F42)+'2. sz. mell '!F52</f>
        <v>0</v>
      </c>
      <c r="F49" s="35"/>
    </row>
    <row r="50" spans="1:8" s="11" customFormat="1" ht="28.5" customHeight="1" thickBot="1">
      <c r="A50" s="23"/>
      <c r="B50" s="735" t="s">
        <v>76</v>
      </c>
      <c r="C50" s="736"/>
      <c r="D50" s="736"/>
      <c r="E50" s="736"/>
      <c r="F50" s="737" t="e">
        <f t="shared" si="1"/>
        <v>#DIV/0!</v>
      </c>
    </row>
    <row r="51" spans="1:8" s="11" customFormat="1" ht="30" customHeight="1" thickBot="1">
      <c r="A51" s="3" t="s">
        <v>1543</v>
      </c>
      <c r="B51" s="12" t="s">
        <v>1569</v>
      </c>
      <c r="C51" s="17">
        <f>SUM(C52:C54)</f>
        <v>200000</v>
      </c>
      <c r="D51" s="17">
        <f t="shared" ref="D51:E51" si="6">SUM(D52:D54)</f>
        <v>9150</v>
      </c>
      <c r="E51" s="17">
        <f t="shared" si="6"/>
        <v>55245</v>
      </c>
      <c r="F51" s="17">
        <f t="shared" si="1"/>
        <v>603.77049180327867</v>
      </c>
    </row>
    <row r="52" spans="1:8" s="11" customFormat="1" ht="31.5" customHeight="1">
      <c r="A52" s="26" t="s">
        <v>1544</v>
      </c>
      <c r="B52" s="27" t="s">
        <v>70</v>
      </c>
      <c r="C52" s="28">
        <f>SUM('2. sz. mell '!D47)</f>
        <v>200000</v>
      </c>
      <c r="D52" s="28">
        <f>SUM('2. sz. mell '!E47)</f>
        <v>3014</v>
      </c>
      <c r="E52" s="28">
        <f>SUM('2. sz. mell '!F47)</f>
        <v>3014</v>
      </c>
      <c r="F52" s="28">
        <f t="shared" si="1"/>
        <v>100</v>
      </c>
    </row>
    <row r="53" spans="1:8" s="11" customFormat="1" ht="29.25" customHeight="1">
      <c r="A53" s="26" t="s">
        <v>1545</v>
      </c>
      <c r="B53" s="15" t="s">
        <v>72</v>
      </c>
      <c r="C53" s="28">
        <f>SUM('2. sz. mell '!D48)</f>
        <v>0</v>
      </c>
      <c r="D53" s="28">
        <f>SUM('2. sz. mell '!E48)</f>
        <v>0</v>
      </c>
      <c r="E53" s="28">
        <f>SUM('2. sz. mell '!F48)</f>
        <v>0</v>
      </c>
      <c r="F53" s="28"/>
    </row>
    <row r="54" spans="1:8" s="11" customFormat="1" ht="15" customHeight="1">
      <c r="A54" s="26" t="s">
        <v>1546</v>
      </c>
      <c r="B54" s="36" t="s">
        <v>73</v>
      </c>
      <c r="C54" s="37">
        <f>SUM('2. sz. mell '!D50)</f>
        <v>0</v>
      </c>
      <c r="D54" s="37">
        <f>SUM('2. sz. mell '!E50)+'2. sz. mell '!E49</f>
        <v>6136</v>
      </c>
      <c r="E54" s="37">
        <f>SUM('2. sz. mell '!F50)+'2. sz. mell '!F49</f>
        <v>52231</v>
      </c>
      <c r="F54" s="37">
        <f t="shared" si="1"/>
        <v>851.222294654498</v>
      </c>
    </row>
    <row r="55" spans="1:8" s="11" customFormat="1" ht="15" customHeight="1">
      <c r="A55" s="3" t="s">
        <v>178</v>
      </c>
      <c r="B55" s="12" t="s">
        <v>1570</v>
      </c>
      <c r="C55" s="1131">
        <f>SUM(C56:C57)</f>
        <v>500</v>
      </c>
      <c r="D55" s="1131">
        <f t="shared" ref="D55:E55" si="7">SUM(D56:D57)</f>
        <v>483474</v>
      </c>
      <c r="E55" s="1131">
        <f t="shared" si="7"/>
        <v>488202</v>
      </c>
      <c r="F55" s="1131">
        <f t="shared" si="1"/>
        <v>100.97792228744463</v>
      </c>
    </row>
    <row r="56" spans="1:8" s="11" customFormat="1" ht="30.75" customHeight="1">
      <c r="A56" s="26" t="s">
        <v>69</v>
      </c>
      <c r="B56" s="15" t="s">
        <v>76</v>
      </c>
      <c r="C56" s="28">
        <f>SUM('2. sz. mell '!D43)</f>
        <v>0</v>
      </c>
      <c r="D56" s="28">
        <f>SUM('2. sz. mell '!E43)</f>
        <v>34548</v>
      </c>
      <c r="E56" s="28">
        <f>SUM('2. sz. mell '!F43)</f>
        <v>34628</v>
      </c>
      <c r="F56" s="28">
        <f t="shared" si="1"/>
        <v>100.23156188491373</v>
      </c>
    </row>
    <row r="57" spans="1:8" s="11" customFormat="1" ht="15" customHeight="1">
      <c r="A57" s="21" t="s">
        <v>71</v>
      </c>
      <c r="B57" s="15" t="s">
        <v>78</v>
      </c>
      <c r="C57" s="37">
        <f>SUM('2. sz. mell '!D53)</f>
        <v>500</v>
      </c>
      <c r="D57" s="37">
        <f>SUM('2. sz. mell '!E53)</f>
        <v>448926</v>
      </c>
      <c r="E57" s="37">
        <f>SUM('2. sz. mell '!F53)</f>
        <v>453574</v>
      </c>
      <c r="F57" s="37">
        <f t="shared" si="1"/>
        <v>101.03535994796469</v>
      </c>
    </row>
    <row r="58" spans="1:8" s="11" customFormat="1" ht="28.5">
      <c r="A58" s="3" t="s">
        <v>1547</v>
      </c>
      <c r="B58" s="12" t="s">
        <v>1571</v>
      </c>
      <c r="C58" s="1131">
        <f>SUM('2. sz. mell '!D54)</f>
        <v>500</v>
      </c>
      <c r="D58" s="1131">
        <f>SUM('2. sz. mell '!E54)</f>
        <v>509</v>
      </c>
      <c r="E58" s="1131">
        <f>SUM('2. sz. mell '!F54)</f>
        <v>3310</v>
      </c>
      <c r="F58" s="1131">
        <f t="shared" si="1"/>
        <v>650.29469548133591</v>
      </c>
      <c r="H58" s="39"/>
    </row>
    <row r="59" spans="1:8" s="11" customFormat="1" ht="33" customHeight="1">
      <c r="A59" s="3" t="s">
        <v>205</v>
      </c>
      <c r="B59" s="40" t="s">
        <v>1683</v>
      </c>
      <c r="C59" s="41">
        <f>+C4+C51+C55+C58+C44</f>
        <v>3273191</v>
      </c>
      <c r="D59" s="41">
        <f t="shared" ref="D59:E59" si="8">+D4+D51+D55+D58+D44</f>
        <v>3710623</v>
      </c>
      <c r="E59" s="41">
        <f t="shared" si="8"/>
        <v>3889297</v>
      </c>
      <c r="F59" s="41">
        <f t="shared" si="1"/>
        <v>104.81520219111454</v>
      </c>
    </row>
    <row r="60" spans="1:8" s="11" customFormat="1" ht="32.25" customHeight="1">
      <c r="A60" s="42" t="s">
        <v>79</v>
      </c>
      <c r="B60" s="12" t="s">
        <v>1572</v>
      </c>
      <c r="C60" s="38">
        <f>SUM('2. sz. mell '!D70)</f>
        <v>0</v>
      </c>
      <c r="D60" s="38">
        <f>SUM('2. sz. mell '!E70)</f>
        <v>649866</v>
      </c>
      <c r="E60" s="38">
        <f>SUM('2. sz. mell '!F70)</f>
        <v>649866</v>
      </c>
      <c r="F60" s="38">
        <f t="shared" si="1"/>
        <v>100</v>
      </c>
    </row>
    <row r="61" spans="1:8" s="11" customFormat="1" ht="30.75" customHeight="1">
      <c r="A61" s="18" t="s">
        <v>1548</v>
      </c>
      <c r="B61" s="19" t="s">
        <v>82</v>
      </c>
      <c r="C61" s="28">
        <f>SUM('2. sz. mell '!D71)</f>
        <v>0</v>
      </c>
      <c r="D61" s="28">
        <f>SUM('2. sz. mell '!E71)</f>
        <v>242166</v>
      </c>
      <c r="E61" s="28">
        <f>SUM('2. sz. mell '!F71)</f>
        <v>242166</v>
      </c>
      <c r="F61" s="28">
        <f t="shared" si="1"/>
        <v>100</v>
      </c>
    </row>
    <row r="62" spans="1:8" s="11" customFormat="1" ht="29.25" customHeight="1">
      <c r="A62" s="23" t="s">
        <v>1549</v>
      </c>
      <c r="B62" s="24" t="s">
        <v>84</v>
      </c>
      <c r="C62" s="43">
        <f>SUM('2. sz. mell '!D72)</f>
        <v>0</v>
      </c>
      <c r="D62" s="43">
        <f>SUM('2. sz. mell '!E72)</f>
        <v>407700</v>
      </c>
      <c r="E62" s="43">
        <f>SUM('2. sz. mell '!F72)</f>
        <v>407700</v>
      </c>
      <c r="F62" s="43">
        <f t="shared" si="1"/>
        <v>100</v>
      </c>
    </row>
    <row r="63" spans="1:8" s="11" customFormat="1" ht="28.5">
      <c r="A63" s="42" t="s">
        <v>80</v>
      </c>
      <c r="B63" s="12" t="s">
        <v>1573</v>
      </c>
      <c r="C63" s="17">
        <f>SUM(C64,C71)</f>
        <v>0</v>
      </c>
      <c r="D63" s="17">
        <f t="shared" ref="D63:E63" si="9">SUM(D64,D71)</f>
        <v>198462</v>
      </c>
      <c r="E63" s="17">
        <f t="shared" si="9"/>
        <v>2104786</v>
      </c>
      <c r="F63" s="17"/>
    </row>
    <row r="64" spans="1:8" s="11" customFormat="1" ht="30" customHeight="1">
      <c r="A64" s="18" t="s">
        <v>81</v>
      </c>
      <c r="B64" s="30" t="s">
        <v>1550</v>
      </c>
      <c r="C64" s="44">
        <f>SUM(C65:C70)</f>
        <v>0</v>
      </c>
      <c r="D64" s="44">
        <f t="shared" ref="D64:E64" si="10">SUM(D65:D70)</f>
        <v>198462</v>
      </c>
      <c r="E64" s="44">
        <f t="shared" si="10"/>
        <v>2104786</v>
      </c>
      <c r="F64" s="44"/>
    </row>
    <row r="65" spans="1:10" s="11" customFormat="1" ht="15" customHeight="1">
      <c r="A65" s="26" t="s">
        <v>1551</v>
      </c>
      <c r="B65" s="45" t="s">
        <v>87</v>
      </c>
      <c r="C65" s="16"/>
      <c r="D65" s="16"/>
      <c r="E65" s="16"/>
      <c r="F65" s="16"/>
    </row>
    <row r="66" spans="1:10" s="11" customFormat="1" ht="15" customHeight="1">
      <c r="A66" s="26" t="s">
        <v>1552</v>
      </c>
      <c r="B66" s="45" t="s">
        <v>88</v>
      </c>
      <c r="C66" s="16"/>
      <c r="D66" s="16">
        <f>SUM('2. sz. mell '!E74)</f>
        <v>198462</v>
      </c>
      <c r="E66" s="16">
        <f>SUM('2. sz. mell '!F74)</f>
        <v>2104786</v>
      </c>
      <c r="F66" s="16"/>
    </row>
    <row r="67" spans="1:10" s="11" customFormat="1" ht="15" customHeight="1">
      <c r="A67" s="26" t="s">
        <v>1553</v>
      </c>
      <c r="B67" s="45" t="s">
        <v>89</v>
      </c>
      <c r="C67" s="37"/>
      <c r="D67" s="37"/>
      <c r="E67" s="37"/>
      <c r="F67" s="37"/>
    </row>
    <row r="68" spans="1:10" s="11" customFormat="1" ht="25.5" customHeight="1">
      <c r="A68" s="26" t="s">
        <v>1554</v>
      </c>
      <c r="B68" s="45" t="s">
        <v>90</v>
      </c>
      <c r="C68" s="46"/>
      <c r="D68" s="46"/>
      <c r="E68" s="46"/>
      <c r="F68" s="46"/>
    </row>
    <row r="69" spans="1:10" s="11" customFormat="1" ht="15" customHeight="1">
      <c r="A69" s="26" t="s">
        <v>1555</v>
      </c>
      <c r="B69" s="45" t="s">
        <v>91</v>
      </c>
      <c r="C69" s="46"/>
      <c r="D69" s="46"/>
      <c r="E69" s="46"/>
      <c r="F69" s="46"/>
    </row>
    <row r="70" spans="1:10" s="11" customFormat="1" ht="15" customHeight="1">
      <c r="A70" s="26" t="s">
        <v>1556</v>
      </c>
      <c r="B70" s="45" t="s">
        <v>92</v>
      </c>
      <c r="C70" s="46"/>
      <c r="D70" s="46"/>
      <c r="E70" s="46"/>
      <c r="F70" s="46"/>
    </row>
    <row r="71" spans="1:10" s="11" customFormat="1" ht="30.75" customHeight="1">
      <c r="A71" s="26" t="s">
        <v>83</v>
      </c>
      <c r="B71" s="30" t="s">
        <v>1564</v>
      </c>
      <c r="C71" s="47">
        <f>SUM(C72:C78)</f>
        <v>0</v>
      </c>
      <c r="D71" s="47">
        <f t="shared" ref="D71:E71" si="11">SUM(D72:D78)</f>
        <v>0</v>
      </c>
      <c r="E71" s="47">
        <f t="shared" si="11"/>
        <v>0</v>
      </c>
      <c r="F71" s="47"/>
    </row>
    <row r="72" spans="1:10" s="11" customFormat="1" ht="15" customHeight="1">
      <c r="A72" s="26" t="s">
        <v>1557</v>
      </c>
      <c r="B72" s="45" t="s">
        <v>87</v>
      </c>
      <c r="C72" s="16"/>
      <c r="D72" s="16"/>
      <c r="E72" s="16"/>
      <c r="F72" s="16"/>
    </row>
    <row r="73" spans="1:10" s="11" customFormat="1" ht="15" customHeight="1">
      <c r="A73" s="26" t="s">
        <v>1558</v>
      </c>
      <c r="B73" s="45" t="s">
        <v>94</v>
      </c>
      <c r="C73" s="16"/>
      <c r="D73" s="16"/>
      <c r="E73" s="16"/>
      <c r="F73" s="16"/>
    </row>
    <row r="74" spans="1:10" s="11" customFormat="1" ht="15" customHeight="1">
      <c r="A74" s="26" t="s">
        <v>1559</v>
      </c>
      <c r="B74" s="45" t="s">
        <v>95</v>
      </c>
      <c r="C74" s="37"/>
      <c r="D74" s="37"/>
      <c r="E74" s="37"/>
      <c r="F74" s="37"/>
    </row>
    <row r="75" spans="1:10" s="11" customFormat="1" ht="15" customHeight="1">
      <c r="A75" s="26" t="s">
        <v>1560</v>
      </c>
      <c r="B75" s="45" t="s">
        <v>89</v>
      </c>
      <c r="C75" s="16"/>
      <c r="D75" s="16"/>
      <c r="E75" s="16"/>
      <c r="F75" s="16"/>
    </row>
    <row r="76" spans="1:10" s="11" customFormat="1" ht="25.5" customHeight="1">
      <c r="A76" s="26" t="s">
        <v>1561</v>
      </c>
      <c r="B76" s="48" t="s">
        <v>96</v>
      </c>
      <c r="C76" s="37"/>
      <c r="D76" s="37"/>
      <c r="E76" s="37"/>
      <c r="F76" s="37"/>
    </row>
    <row r="77" spans="1:10" s="11" customFormat="1" ht="15" customHeight="1">
      <c r="A77" s="26" t="s">
        <v>1562</v>
      </c>
      <c r="B77" s="48" t="s">
        <v>91</v>
      </c>
      <c r="C77" s="16"/>
      <c r="D77" s="16"/>
      <c r="E77" s="16"/>
      <c r="F77" s="16"/>
    </row>
    <row r="78" spans="1:10" s="11" customFormat="1" ht="15" customHeight="1" thickBot="1">
      <c r="A78" s="26" t="s">
        <v>1563</v>
      </c>
      <c r="B78" s="34" t="s">
        <v>97</v>
      </c>
      <c r="C78" s="43"/>
      <c r="D78" s="43"/>
      <c r="E78" s="43"/>
      <c r="F78" s="43"/>
    </row>
    <row r="79" spans="1:10" s="11" customFormat="1" ht="26.25" customHeight="1" thickBot="1">
      <c r="A79" s="42" t="s">
        <v>85</v>
      </c>
      <c r="B79" s="12" t="s">
        <v>1574</v>
      </c>
      <c r="C79" s="49"/>
      <c r="D79" s="49"/>
      <c r="E79" s="1134">
        <f>SUM('2. sz. mell '!F77)</f>
        <v>-4003</v>
      </c>
      <c r="F79" s="49"/>
    </row>
    <row r="80" spans="1:10" s="54" customFormat="1" ht="27" customHeight="1" thickBot="1">
      <c r="A80" s="50" t="s">
        <v>98</v>
      </c>
      <c r="B80" s="51" t="s">
        <v>1565</v>
      </c>
      <c r="C80" s="52">
        <f>+C59+C60+C63</f>
        <v>3273191</v>
      </c>
      <c r="D80" s="52">
        <f t="shared" ref="D80" si="12">+D59+D60+D63</f>
        <v>4558951</v>
      </c>
      <c r="E80" s="52">
        <f>+E59+E60+E63+E79</f>
        <v>6639946</v>
      </c>
      <c r="F80" s="52">
        <f>E80/D80*100</f>
        <v>145.64635592705429</v>
      </c>
      <c r="G80" s="53"/>
      <c r="H80" s="52">
        <f>SUM('1.1.sz.mell  '!G35-'1.sz.mell.'!C80)</f>
        <v>0</v>
      </c>
      <c r="I80" s="52">
        <f>SUM('1.1.sz.mell  '!H35-'1.sz.mell.'!D80)</f>
        <v>0</v>
      </c>
      <c r="J80" s="52">
        <f>SUM('1.1.sz.mell  '!I35-'1.sz.mell.'!E80)</f>
        <v>0</v>
      </c>
    </row>
    <row r="81" spans="1:6" ht="20.25" customHeight="1" thickBot="1">
      <c r="A81" s="1802" t="s">
        <v>100</v>
      </c>
      <c r="B81" s="1802"/>
      <c r="C81" s="1802"/>
      <c r="D81" s="55"/>
      <c r="E81" s="55"/>
      <c r="F81" s="55"/>
    </row>
    <row r="82" spans="1:6" s="11" customFormat="1" ht="29.25">
      <c r="A82" s="8" t="s">
        <v>4</v>
      </c>
      <c r="B82" s="56" t="s">
        <v>101</v>
      </c>
      <c r="C82" s="58">
        <f>SUM(C83+C84+C85+C86+C87+C98)</f>
        <v>2703654</v>
      </c>
      <c r="D82" s="58">
        <f t="shared" ref="D82:E82" si="13">SUM(D83+D84+D85+D86+D87+D98)</f>
        <v>3301380</v>
      </c>
      <c r="E82" s="58">
        <f t="shared" si="13"/>
        <v>3083315</v>
      </c>
      <c r="F82" s="58">
        <f t="shared" ref="F82:F89" si="14">E82/D82*100</f>
        <v>93.394731899993332</v>
      </c>
    </row>
    <row r="83" spans="1:6" s="11" customFormat="1" ht="15" customHeight="1">
      <c r="A83" s="18" t="s">
        <v>102</v>
      </c>
      <c r="B83" s="19" t="s">
        <v>103</v>
      </c>
      <c r="C83" s="59">
        <f>SUM('2. sz. mell '!D81)</f>
        <v>904670</v>
      </c>
      <c r="D83" s="59">
        <f>SUM('2. sz. mell '!E81)</f>
        <v>1025986</v>
      </c>
      <c r="E83" s="59">
        <f>SUM('2. sz. mell '!F81)</f>
        <v>995355</v>
      </c>
      <c r="F83" s="59">
        <f t="shared" si="14"/>
        <v>97.01448167908724</v>
      </c>
    </row>
    <row r="84" spans="1:6" s="11" customFormat="1" ht="30" customHeight="1">
      <c r="A84" s="14" t="s">
        <v>104</v>
      </c>
      <c r="B84" s="15" t="s">
        <v>105</v>
      </c>
      <c r="C84" s="60">
        <f>SUM('2. sz. mell '!D82)</f>
        <v>250657</v>
      </c>
      <c r="D84" s="60">
        <f>SUM('2. sz. mell '!E82)</f>
        <v>252063</v>
      </c>
      <c r="E84" s="60">
        <f>SUM('2. sz. mell '!F82)</f>
        <v>244906</v>
      </c>
      <c r="F84" s="60">
        <f t="shared" si="14"/>
        <v>97.160630477301311</v>
      </c>
    </row>
    <row r="85" spans="1:6" s="11" customFormat="1" ht="15" customHeight="1">
      <c r="A85" s="14" t="s">
        <v>106</v>
      </c>
      <c r="B85" s="15" t="s">
        <v>107</v>
      </c>
      <c r="C85" s="60">
        <f>SUM('2. sz. mell '!D83)</f>
        <v>1364695</v>
      </c>
      <c r="D85" s="60">
        <f>SUM('2. sz. mell '!E83)</f>
        <v>1602368</v>
      </c>
      <c r="E85" s="60">
        <f>SUM('2. sz. mell '!F83)</f>
        <v>1478797</v>
      </c>
      <c r="F85" s="60">
        <f t="shared" si="14"/>
        <v>92.288225925630059</v>
      </c>
    </row>
    <row r="86" spans="1:6" s="11" customFormat="1" ht="19.5" customHeight="1">
      <c r="A86" s="14" t="s">
        <v>108</v>
      </c>
      <c r="B86" s="15" t="s">
        <v>109</v>
      </c>
      <c r="C86" s="60">
        <f>SUM('2. sz. mell '!D85)</f>
        <v>40000</v>
      </c>
      <c r="D86" s="60">
        <f>SUM('2. sz. mell '!E85)</f>
        <v>96585</v>
      </c>
      <c r="E86" s="60">
        <f>SUM('2. sz. mell '!F85)</f>
        <v>94580</v>
      </c>
      <c r="F86" s="60">
        <f t="shared" si="14"/>
        <v>97.924108298390024</v>
      </c>
    </row>
    <row r="87" spans="1:6" s="11" customFormat="1" ht="15" customHeight="1">
      <c r="A87" s="14" t="s">
        <v>110</v>
      </c>
      <c r="B87" s="61" t="s">
        <v>111</v>
      </c>
      <c r="C87" s="60">
        <f>SUM('2. sz. mell '!D84)</f>
        <v>143632</v>
      </c>
      <c r="D87" s="60">
        <f>SUM('2. sz. mell '!E84)</f>
        <v>324378</v>
      </c>
      <c r="E87" s="60">
        <f>SUM('2. sz. mell '!F84)</f>
        <v>269677</v>
      </c>
      <c r="F87" s="60">
        <f t="shared" si="14"/>
        <v>83.136649217887765</v>
      </c>
    </row>
    <row r="88" spans="1:6" s="11" customFormat="1" ht="15" customHeight="1">
      <c r="A88" s="62" t="s">
        <v>112</v>
      </c>
      <c r="B88" s="15" t="s">
        <v>113</v>
      </c>
      <c r="C88" s="60">
        <f>SUM('2. sz. mell '!D86)</f>
        <v>9986</v>
      </c>
      <c r="D88" s="60">
        <f>SUM('2. sz. mell '!E86)</f>
        <v>4886</v>
      </c>
      <c r="E88" s="60">
        <f>SUM('2. sz. mell '!F86)</f>
        <v>4886</v>
      </c>
      <c r="F88" s="60">
        <f t="shared" si="14"/>
        <v>100</v>
      </c>
    </row>
    <row r="89" spans="1:6" s="11" customFormat="1" ht="15" customHeight="1">
      <c r="A89" s="62" t="s">
        <v>114</v>
      </c>
      <c r="B89" s="15" t="s">
        <v>115</v>
      </c>
      <c r="C89" s="60">
        <f>SUM('2. sz. mell '!D87)</f>
        <v>133646</v>
      </c>
      <c r="D89" s="60">
        <f>SUM('2. sz. mell '!E87)</f>
        <v>319492</v>
      </c>
      <c r="E89" s="60">
        <f>SUM('2. sz. mell '!F87)</f>
        <v>264791</v>
      </c>
      <c r="F89" s="60">
        <f t="shared" si="14"/>
        <v>82.878757527575019</v>
      </c>
    </row>
    <row r="90" spans="1:6" s="11" customFormat="1" ht="15" customHeight="1">
      <c r="A90" s="14" t="s">
        <v>116</v>
      </c>
      <c r="B90" s="63" t="s">
        <v>117</v>
      </c>
      <c r="C90" s="60">
        <f>SUM('2. sz. mell '!D88)</f>
        <v>0</v>
      </c>
      <c r="D90" s="60">
        <f>SUM('2. sz. mell '!E88)</f>
        <v>0</v>
      </c>
      <c r="E90" s="60">
        <f>SUM('2. sz. mell '!F88)</f>
        <v>0</v>
      </c>
      <c r="F90" s="60"/>
    </row>
    <row r="91" spans="1:6" s="11" customFormat="1" ht="15" customHeight="1">
      <c r="A91" s="14" t="s">
        <v>118</v>
      </c>
      <c r="B91" s="64" t="s">
        <v>119</v>
      </c>
      <c r="C91" s="60">
        <f>SUM('2. sz. mell '!D89)</f>
        <v>0</v>
      </c>
      <c r="D91" s="60">
        <f>SUM('2. sz. mell '!E89)</f>
        <v>0</v>
      </c>
      <c r="E91" s="60">
        <f>SUM('2. sz. mell '!F89)</f>
        <v>0</v>
      </c>
      <c r="F91" s="60"/>
    </row>
    <row r="92" spans="1:6" s="11" customFormat="1" ht="15" customHeight="1">
      <c r="A92" s="14" t="s">
        <v>120</v>
      </c>
      <c r="B92" s="63" t="s">
        <v>121</v>
      </c>
      <c r="C92" s="60">
        <f>SUM('2. sz. mell '!D90)</f>
        <v>0</v>
      </c>
      <c r="D92" s="60">
        <f>SUM('2. sz. mell '!E90)</f>
        <v>0</v>
      </c>
      <c r="E92" s="60">
        <f>SUM('2. sz. mell '!F90)</f>
        <v>0</v>
      </c>
      <c r="F92" s="60"/>
    </row>
    <row r="93" spans="1:6" s="11" customFormat="1" ht="30" customHeight="1">
      <c r="A93" s="14" t="s">
        <v>122</v>
      </c>
      <c r="B93" s="68" t="s">
        <v>123</v>
      </c>
      <c r="C93" s="60">
        <f>SUM('2. sz. mell '!D91)</f>
        <v>101646</v>
      </c>
      <c r="D93" s="60">
        <f>SUM('2. sz. mell '!E91)</f>
        <v>181947</v>
      </c>
      <c r="E93" s="60">
        <f>SUM('2. sz. mell '!F91)</f>
        <v>147289</v>
      </c>
      <c r="F93" s="60">
        <f>E93/D93*100</f>
        <v>80.951595794379685</v>
      </c>
    </row>
    <row r="94" spans="1:6" s="11" customFormat="1" ht="15" customHeight="1">
      <c r="A94" s="14" t="s">
        <v>124</v>
      </c>
      <c r="B94" s="63" t="s">
        <v>125</v>
      </c>
      <c r="C94" s="60">
        <f>SUM('2. sz. mell '!D92)</f>
        <v>0</v>
      </c>
      <c r="D94" s="60">
        <f>SUM('2. sz. mell '!E92)</f>
        <v>108399</v>
      </c>
      <c r="E94" s="60">
        <f>SUM('2. sz. mell '!F92)</f>
        <v>108312</v>
      </c>
      <c r="F94" s="60">
        <f t="shared" ref="F94:F96" si="15">E94/D94*100</f>
        <v>99.919740957019897</v>
      </c>
    </row>
    <row r="95" spans="1:6" s="11" customFormat="1" ht="29.25" customHeight="1">
      <c r="A95" s="21" t="s">
        <v>126</v>
      </c>
      <c r="B95" s="68" t="s">
        <v>127</v>
      </c>
      <c r="C95" s="60">
        <f>SUM('2. sz. mell '!D93)</f>
        <v>0</v>
      </c>
      <c r="D95" s="60">
        <f>SUM('2. sz. mell '!E93)</f>
        <v>0</v>
      </c>
      <c r="E95" s="60">
        <f>SUM('2. sz. mell '!F93)</f>
        <v>0</v>
      </c>
      <c r="F95" s="60" t="e">
        <f t="shared" si="15"/>
        <v>#DIV/0!</v>
      </c>
    </row>
    <row r="96" spans="1:6" s="11" customFormat="1" ht="15" customHeight="1">
      <c r="A96" s="14" t="s">
        <v>128</v>
      </c>
      <c r="B96" s="63" t="s">
        <v>129</v>
      </c>
      <c r="C96" s="60">
        <f>SUM('2. sz. mell '!D94)</f>
        <v>32000</v>
      </c>
      <c r="D96" s="60">
        <f>SUM('2. sz. mell '!E94)</f>
        <v>29146</v>
      </c>
      <c r="E96" s="60">
        <f>SUM('2. sz. mell '!F94)</f>
        <v>9190</v>
      </c>
      <c r="F96" s="60">
        <f t="shared" si="15"/>
        <v>31.530913332875866</v>
      </c>
    </row>
    <row r="97" spans="1:6" s="11" customFormat="1" ht="15" customHeight="1">
      <c r="A97" s="29" t="s">
        <v>130</v>
      </c>
      <c r="B97" s="63" t="s">
        <v>131</v>
      </c>
      <c r="C97" s="65">
        <f>SUM('2. sz. mell '!D95)</f>
        <v>0</v>
      </c>
      <c r="D97" s="65">
        <f>SUM('2. sz. mell '!E95)</f>
        <v>0</v>
      </c>
      <c r="E97" s="65">
        <f>SUM('2. sz. mell '!F95)</f>
        <v>0</v>
      </c>
      <c r="F97" s="65"/>
    </row>
    <row r="98" spans="1:6" s="11" customFormat="1" ht="15" customHeight="1">
      <c r="A98" s="33"/>
      <c r="B98" s="15" t="s">
        <v>109</v>
      </c>
      <c r="C98" s="66"/>
      <c r="D98" s="66"/>
      <c r="E98" s="66"/>
      <c r="F98" s="66"/>
    </row>
    <row r="99" spans="1:6" s="11" customFormat="1" ht="29.25">
      <c r="A99" s="3" t="s">
        <v>5</v>
      </c>
      <c r="B99" s="67" t="s">
        <v>132</v>
      </c>
      <c r="C99" s="58">
        <f>SUM(C100:C106)</f>
        <v>246932</v>
      </c>
      <c r="D99" s="58">
        <f t="shared" ref="D99:E99" si="16">SUM(D100:D106)</f>
        <v>851561</v>
      </c>
      <c r="E99" s="58">
        <f t="shared" si="16"/>
        <v>602156</v>
      </c>
      <c r="F99" s="58">
        <f>E99/D99*100</f>
        <v>70.712021804662257</v>
      </c>
    </row>
    <row r="100" spans="1:6" s="11" customFormat="1" ht="15" customHeight="1">
      <c r="A100" s="26" t="s">
        <v>6</v>
      </c>
      <c r="B100" s="15" t="s">
        <v>133</v>
      </c>
      <c r="C100" s="59">
        <f>SUM('2. sz. mell '!D105)</f>
        <v>116000</v>
      </c>
      <c r="D100" s="59">
        <f>SUM('2. sz. mell '!E105)</f>
        <v>765380</v>
      </c>
      <c r="E100" s="59">
        <f>SUM('2. sz. mell '!F105)</f>
        <v>545922</v>
      </c>
      <c r="F100" s="59">
        <f>E100/D100*100</f>
        <v>71.326922574407476</v>
      </c>
    </row>
    <row r="101" spans="1:6" s="11" customFormat="1" ht="15" customHeight="1">
      <c r="A101" s="26" t="s">
        <v>8</v>
      </c>
      <c r="B101" s="15" t="s">
        <v>134</v>
      </c>
      <c r="C101" s="59">
        <f>SUM('2. sz. mell '!D106)</f>
        <v>25000</v>
      </c>
      <c r="D101" s="59">
        <f>SUM('2. sz. mell '!E106)</f>
        <v>30264</v>
      </c>
      <c r="E101" s="59">
        <f>SUM('2. sz. mell '!F106)</f>
        <v>29711</v>
      </c>
      <c r="F101" s="59">
        <f>E101/D101*100</f>
        <v>98.17274649748876</v>
      </c>
    </row>
    <row r="102" spans="1:6" s="11" customFormat="1" ht="15" customHeight="1">
      <c r="A102" s="26" t="s">
        <v>10</v>
      </c>
      <c r="B102" s="15" t="s">
        <v>135</v>
      </c>
      <c r="C102" s="59">
        <f>SUM('2. sz. mell '!D107)</f>
        <v>0</v>
      </c>
      <c r="D102" s="59">
        <f>SUM('2. sz. mell '!E107)</f>
        <v>0</v>
      </c>
      <c r="E102" s="59">
        <f>SUM('2. sz. mell '!F107)</f>
        <v>0</v>
      </c>
      <c r="F102" s="59"/>
    </row>
    <row r="103" spans="1:6" s="11" customFormat="1" ht="15" customHeight="1">
      <c r="A103" s="26" t="s">
        <v>12</v>
      </c>
      <c r="B103" s="15" t="s">
        <v>136</v>
      </c>
      <c r="C103" s="59">
        <f>SUM('2. sz. mell '!D108)</f>
        <v>0</v>
      </c>
      <c r="D103" s="59">
        <f>SUM('2. sz. mell '!E108)</f>
        <v>0</v>
      </c>
      <c r="E103" s="59">
        <f>SUM('2. sz. mell '!F108)</f>
        <v>0</v>
      </c>
      <c r="F103" s="59"/>
    </row>
    <row r="104" spans="1:6" s="11" customFormat="1" ht="29.25" customHeight="1">
      <c r="A104" s="26" t="s">
        <v>14</v>
      </c>
      <c r="B104" s="15" t="s">
        <v>137</v>
      </c>
      <c r="C104" s="59">
        <f>SUM('2. sz. mell '!D109)</f>
        <v>0</v>
      </c>
      <c r="D104" s="59">
        <f>SUM('2. sz. mell '!E109)</f>
        <v>0</v>
      </c>
      <c r="E104" s="59">
        <f>SUM('2. sz. mell '!F109)</f>
        <v>0</v>
      </c>
      <c r="F104" s="59"/>
    </row>
    <row r="105" spans="1:6" s="11" customFormat="1" ht="42" customHeight="1">
      <c r="A105" s="26" t="s">
        <v>16</v>
      </c>
      <c r="B105" s="15" t="s">
        <v>138</v>
      </c>
      <c r="C105" s="59">
        <f>SUM('2. sz. mell '!D110)</f>
        <v>0</v>
      </c>
      <c r="D105" s="59">
        <f>SUM('2. sz. mell '!E110)</f>
        <v>0</v>
      </c>
      <c r="E105" s="59">
        <f>SUM('2. sz. mell '!F110)</f>
        <v>0</v>
      </c>
      <c r="F105" s="59"/>
    </row>
    <row r="106" spans="1:6" s="11" customFormat="1" ht="15" customHeight="1">
      <c r="A106" s="26" t="s">
        <v>18</v>
      </c>
      <c r="B106" s="15" t="s">
        <v>139</v>
      </c>
      <c r="C106" s="59">
        <f>SUM('2. sz. mell '!D111)</f>
        <v>105932</v>
      </c>
      <c r="D106" s="59">
        <f>SUM('2. sz. mell '!E111)</f>
        <v>55917</v>
      </c>
      <c r="E106" s="59">
        <f>SUM('2. sz. mell '!F111)</f>
        <v>26523</v>
      </c>
      <c r="F106" s="59">
        <f>E106/D106*100</f>
        <v>47.432802188958632</v>
      </c>
    </row>
    <row r="107" spans="1:6" s="11" customFormat="1" ht="15" customHeight="1">
      <c r="A107" s="26" t="s">
        <v>140</v>
      </c>
      <c r="B107" s="63" t="s">
        <v>141</v>
      </c>
      <c r="C107" s="60"/>
      <c r="D107" s="60"/>
      <c r="E107" s="60"/>
      <c r="F107" s="60"/>
    </row>
    <row r="108" spans="1:6" s="11" customFormat="1" ht="30" customHeight="1">
      <c r="A108" s="26" t="s">
        <v>142</v>
      </c>
      <c r="B108" s="68" t="s">
        <v>143</v>
      </c>
      <c r="C108" s="60"/>
      <c r="D108" s="60"/>
      <c r="E108" s="60"/>
      <c r="F108" s="60"/>
    </row>
    <row r="109" spans="1:6" s="11" customFormat="1" ht="15" customHeight="1">
      <c r="A109" s="21" t="s">
        <v>144</v>
      </c>
      <c r="B109" s="63" t="s">
        <v>145</v>
      </c>
      <c r="C109" s="69"/>
      <c r="D109" s="69"/>
      <c r="E109" s="69"/>
      <c r="F109" s="69"/>
    </row>
    <row r="110" spans="1:6" s="11" customFormat="1" ht="15" customHeight="1">
      <c r="A110" s="29" t="s">
        <v>146</v>
      </c>
      <c r="B110" s="63" t="s">
        <v>147</v>
      </c>
      <c r="C110" s="69"/>
      <c r="D110" s="69"/>
      <c r="E110" s="69"/>
      <c r="F110" s="69"/>
    </row>
    <row r="111" spans="1:6" s="11" customFormat="1" ht="30.75" customHeight="1">
      <c r="A111" s="3" t="s">
        <v>19</v>
      </c>
      <c r="B111" s="67" t="s">
        <v>148</v>
      </c>
      <c r="C111" s="70"/>
      <c r="D111" s="70">
        <f>SUM('2. sz. mell '!E116)</f>
        <v>8003</v>
      </c>
      <c r="E111" s="70">
        <f>SUM('2. sz. mell '!F116)</f>
        <v>550</v>
      </c>
      <c r="F111" s="70">
        <f t="shared" ref="F111:F117" si="17">E111/D111*100</f>
        <v>6.8724228414344628</v>
      </c>
    </row>
    <row r="112" spans="1:6" s="11" customFormat="1" ht="15" customHeight="1">
      <c r="A112" s="3" t="s">
        <v>149</v>
      </c>
      <c r="B112" s="67" t="s">
        <v>150</v>
      </c>
      <c r="C112" s="58">
        <f>SUM(C113:C115)</f>
        <v>258605</v>
      </c>
      <c r="D112" s="58">
        <f t="shared" ref="D112:E112" si="18">SUM(D113:D115)</f>
        <v>333159</v>
      </c>
      <c r="E112" s="58">
        <f t="shared" si="18"/>
        <v>0</v>
      </c>
      <c r="F112" s="58">
        <f t="shared" si="17"/>
        <v>0</v>
      </c>
    </row>
    <row r="113" spans="1:6" s="11" customFormat="1" ht="15" customHeight="1">
      <c r="A113" s="26" t="s">
        <v>151</v>
      </c>
      <c r="B113" s="27" t="s">
        <v>152</v>
      </c>
      <c r="C113" s="59">
        <f>SUM('2. sz. mell '!D99)</f>
        <v>20000</v>
      </c>
      <c r="D113" s="59">
        <f>SUM('2. sz. mell '!E99)</f>
        <v>692</v>
      </c>
      <c r="E113" s="59">
        <f>SUM('2. sz. mell '!F99)</f>
        <v>0</v>
      </c>
      <c r="F113" s="59">
        <f t="shared" si="17"/>
        <v>0</v>
      </c>
    </row>
    <row r="114" spans="1:6" s="11" customFormat="1" ht="15" customHeight="1">
      <c r="A114" s="26" t="s">
        <v>153</v>
      </c>
      <c r="B114" s="15" t="s">
        <v>154</v>
      </c>
      <c r="C114" s="59">
        <f>SUM('2. sz. mell '!D100)</f>
        <v>143605</v>
      </c>
      <c r="D114" s="59">
        <f>SUM('2. sz. mell '!E100)</f>
        <v>83054</v>
      </c>
      <c r="E114" s="59">
        <f>SUM('2. sz. mell '!F100)</f>
        <v>0</v>
      </c>
      <c r="F114" s="59">
        <f t="shared" si="17"/>
        <v>0</v>
      </c>
    </row>
    <row r="115" spans="1:6" s="11" customFormat="1" ht="15" customHeight="1">
      <c r="A115" s="26" t="s">
        <v>155</v>
      </c>
      <c r="B115" s="15" t="s">
        <v>156</v>
      </c>
      <c r="C115" s="59">
        <f>SUM('2. sz. mell '!D101)</f>
        <v>95000</v>
      </c>
      <c r="D115" s="59">
        <f>SUM('2. sz. mell '!E101)</f>
        <v>249413</v>
      </c>
      <c r="E115" s="59">
        <f>SUM('2. sz. mell '!F101)</f>
        <v>0</v>
      </c>
      <c r="F115" s="59">
        <f t="shared" si="17"/>
        <v>0</v>
      </c>
    </row>
    <row r="116" spans="1:6" s="11" customFormat="1" ht="32.25" customHeight="1">
      <c r="A116" s="3" t="s">
        <v>38</v>
      </c>
      <c r="B116" s="40" t="s">
        <v>157</v>
      </c>
      <c r="C116" s="58">
        <f>+C82+C99+C111+C112</f>
        <v>3209191</v>
      </c>
      <c r="D116" s="58">
        <f t="shared" ref="D116:E116" si="19">+D82+D99+D111+D112</f>
        <v>4494103</v>
      </c>
      <c r="E116" s="58">
        <f t="shared" si="19"/>
        <v>3686021</v>
      </c>
      <c r="F116" s="58">
        <f t="shared" si="17"/>
        <v>82.019059198242672</v>
      </c>
    </row>
    <row r="117" spans="1:6" s="11" customFormat="1" ht="28.5">
      <c r="A117" s="3" t="s">
        <v>48</v>
      </c>
      <c r="B117" s="67" t="s">
        <v>158</v>
      </c>
      <c r="C117" s="58">
        <f>SUM(C118,C127)</f>
        <v>64000</v>
      </c>
      <c r="D117" s="58">
        <f t="shared" ref="D117:E117" si="20">SUM(D118,D127)</f>
        <v>64848</v>
      </c>
      <c r="E117" s="58">
        <f t="shared" si="20"/>
        <v>2127566</v>
      </c>
      <c r="F117" s="58">
        <f t="shared" si="17"/>
        <v>3280.8506044905007</v>
      </c>
    </row>
    <row r="118" spans="1:6" s="11" customFormat="1" ht="28.5" customHeight="1">
      <c r="A118" s="26" t="s">
        <v>49</v>
      </c>
      <c r="B118" s="30" t="s">
        <v>159</v>
      </c>
      <c r="C118" s="730">
        <f>SUM(C120:C126)</f>
        <v>0</v>
      </c>
      <c r="D118" s="730">
        <f t="shared" ref="D118:E118" si="21">SUM(D120:D126)</f>
        <v>0</v>
      </c>
      <c r="E118" s="730">
        <f t="shared" si="21"/>
        <v>2072329</v>
      </c>
      <c r="F118" s="71"/>
    </row>
    <row r="119" spans="1:6" s="11" customFormat="1" ht="15" customHeight="1">
      <c r="A119" s="26" t="s">
        <v>50</v>
      </c>
      <c r="B119" s="45" t="s">
        <v>160</v>
      </c>
      <c r="C119" s="60"/>
      <c r="D119" s="60"/>
      <c r="E119" s="60"/>
      <c r="F119" s="60"/>
    </row>
    <row r="120" spans="1:6" s="11" customFormat="1" ht="15" customHeight="1">
      <c r="A120" s="26" t="s">
        <v>52</v>
      </c>
      <c r="B120" s="45" t="s">
        <v>161</v>
      </c>
      <c r="C120" s="60"/>
      <c r="D120" s="60"/>
      <c r="E120" s="60">
        <f>SUM('2. sz. mell '!F120)</f>
        <v>2072329</v>
      </c>
      <c r="F120" s="60"/>
    </row>
    <row r="121" spans="1:6" s="11" customFormat="1" ht="15" customHeight="1">
      <c r="A121" s="26" t="s">
        <v>54</v>
      </c>
      <c r="B121" s="45" t="s">
        <v>162</v>
      </c>
      <c r="C121" s="60"/>
      <c r="D121" s="60"/>
      <c r="E121" s="60"/>
      <c r="F121" s="60"/>
    </row>
    <row r="122" spans="1:6" s="11" customFormat="1" ht="15" customHeight="1">
      <c r="A122" s="26" t="s">
        <v>56</v>
      </c>
      <c r="B122" s="45" t="s">
        <v>163</v>
      </c>
      <c r="C122" s="60"/>
      <c r="D122" s="60"/>
      <c r="E122" s="60"/>
      <c r="F122" s="60"/>
    </row>
    <row r="123" spans="1:6" s="11" customFormat="1" ht="15" customHeight="1">
      <c r="A123" s="26" t="s">
        <v>58</v>
      </c>
      <c r="B123" s="45" t="s">
        <v>164</v>
      </c>
      <c r="C123" s="60"/>
      <c r="D123" s="60"/>
      <c r="E123" s="60"/>
      <c r="F123" s="60"/>
    </row>
    <row r="124" spans="1:6" s="11" customFormat="1" ht="30" customHeight="1">
      <c r="A124" s="26" t="s">
        <v>60</v>
      </c>
      <c r="B124" s="45" t="s">
        <v>165</v>
      </c>
      <c r="C124" s="60"/>
      <c r="D124" s="60"/>
      <c r="E124" s="60"/>
      <c r="F124" s="60"/>
    </row>
    <row r="125" spans="1:6" s="11" customFormat="1" ht="15" customHeight="1">
      <c r="A125" s="26" t="s">
        <v>166</v>
      </c>
      <c r="B125" s="45" t="s">
        <v>167</v>
      </c>
      <c r="C125" s="60"/>
      <c r="D125" s="60"/>
      <c r="E125" s="60"/>
      <c r="F125" s="60"/>
    </row>
    <row r="126" spans="1:6" s="11" customFormat="1" ht="15" customHeight="1">
      <c r="A126" s="26" t="s">
        <v>168</v>
      </c>
      <c r="B126" s="45" t="s">
        <v>169</v>
      </c>
      <c r="C126" s="60"/>
      <c r="D126" s="60"/>
      <c r="E126" s="60"/>
      <c r="F126" s="60"/>
    </row>
    <row r="127" spans="1:6" s="11" customFormat="1" ht="29.25" customHeight="1">
      <c r="A127" s="26" t="s">
        <v>62</v>
      </c>
      <c r="B127" s="30" t="s">
        <v>170</v>
      </c>
      <c r="C127" s="72">
        <f>SUM(C128:C135)</f>
        <v>64000</v>
      </c>
      <c r="D127" s="72">
        <f t="shared" ref="D127:E127" si="22">SUM(D128:D135)</f>
        <v>64848</v>
      </c>
      <c r="E127" s="72">
        <f t="shared" si="22"/>
        <v>55237</v>
      </c>
      <c r="F127" s="72">
        <f>E127/D127*100</f>
        <v>85.179188255613127</v>
      </c>
    </row>
    <row r="128" spans="1:6" s="11" customFormat="1" ht="15" customHeight="1">
      <c r="A128" s="26" t="s">
        <v>63</v>
      </c>
      <c r="B128" s="45" t="s">
        <v>160</v>
      </c>
      <c r="C128" s="60"/>
      <c r="D128" s="60"/>
      <c r="E128" s="60"/>
      <c r="F128" s="60"/>
    </row>
    <row r="129" spans="1:12" s="11" customFormat="1" ht="15" customHeight="1">
      <c r="A129" s="26" t="s">
        <v>64</v>
      </c>
      <c r="B129" s="45" t="s">
        <v>171</v>
      </c>
      <c r="C129" s="60">
        <f>SUM('2. sz. mell '!D121)</f>
        <v>64000</v>
      </c>
      <c r="D129" s="60">
        <f>SUM('2. sz. mell '!E121)</f>
        <v>64848</v>
      </c>
      <c r="E129" s="60">
        <f>SUM('2. sz. mell '!F121)</f>
        <v>55237</v>
      </c>
      <c r="F129" s="60">
        <f>E129/D129*100</f>
        <v>85.179188255613127</v>
      </c>
    </row>
    <row r="130" spans="1:12" s="11" customFormat="1" ht="15" customHeight="1">
      <c r="A130" s="26" t="s">
        <v>65</v>
      </c>
      <c r="B130" s="45" t="s">
        <v>162</v>
      </c>
      <c r="C130" s="60"/>
      <c r="D130" s="60"/>
      <c r="E130" s="60"/>
      <c r="F130" s="60"/>
    </row>
    <row r="131" spans="1:12" s="11" customFormat="1" ht="15" customHeight="1">
      <c r="A131" s="26" t="s">
        <v>66</v>
      </c>
      <c r="B131" s="45" t="s">
        <v>163</v>
      </c>
      <c r="C131" s="65"/>
      <c r="D131" s="65"/>
      <c r="E131" s="65"/>
      <c r="F131" s="65"/>
    </row>
    <row r="132" spans="1:12" s="11" customFormat="1" ht="15" customHeight="1">
      <c r="A132" s="26" t="s">
        <v>67</v>
      </c>
      <c r="B132" s="45" t="s">
        <v>164</v>
      </c>
      <c r="C132" s="60"/>
      <c r="D132" s="60"/>
      <c r="E132" s="60"/>
      <c r="F132" s="60"/>
    </row>
    <row r="133" spans="1:12" s="11" customFormat="1" ht="30" customHeight="1">
      <c r="A133" s="26" t="s">
        <v>172</v>
      </c>
      <c r="B133" s="45" t="s">
        <v>173</v>
      </c>
      <c r="C133" s="69"/>
      <c r="D133" s="69"/>
      <c r="E133" s="69"/>
      <c r="F133" s="69"/>
    </row>
    <row r="134" spans="1:12" s="11" customFormat="1" ht="15" customHeight="1">
      <c r="A134" s="26" t="s">
        <v>174</v>
      </c>
      <c r="B134" s="45" t="s">
        <v>167</v>
      </c>
      <c r="C134" s="69"/>
      <c r="D134" s="69"/>
      <c r="E134" s="69"/>
      <c r="F134" s="69"/>
    </row>
    <row r="135" spans="1:12" s="11" customFormat="1" ht="15" customHeight="1">
      <c r="A135" s="26" t="s">
        <v>175</v>
      </c>
      <c r="B135" s="45" t="s">
        <v>176</v>
      </c>
      <c r="C135" s="73"/>
      <c r="D135" s="73"/>
      <c r="E135" s="73"/>
      <c r="F135" s="73"/>
    </row>
    <row r="136" spans="1:12" s="11" customFormat="1" ht="15" customHeight="1" thickBot="1">
      <c r="A136" s="3"/>
      <c r="B136" s="67" t="s">
        <v>177</v>
      </c>
      <c r="C136" s="57"/>
      <c r="D136" s="57"/>
      <c r="E136" s="57">
        <f>SUM('2. sz. mell '!F123)</f>
        <v>33951</v>
      </c>
      <c r="F136" s="57"/>
    </row>
    <row r="137" spans="1:12" s="11" customFormat="1" ht="15" customHeight="1" thickBot="1">
      <c r="A137" s="3"/>
      <c r="B137" s="67" t="s">
        <v>1218</v>
      </c>
      <c r="C137" s="738"/>
      <c r="D137" s="738"/>
      <c r="E137" s="738"/>
      <c r="F137" s="738"/>
    </row>
    <row r="138" spans="1:12" ht="18.75" customHeight="1" thickBot="1">
      <c r="A138" s="50" t="s">
        <v>178</v>
      </c>
      <c r="B138" s="51" t="s">
        <v>179</v>
      </c>
      <c r="C138" s="52">
        <f>SUM(C116,C117)</f>
        <v>3273191</v>
      </c>
      <c r="D138" s="52">
        <f t="shared" ref="D138" si="23">SUM(D116,D117)</f>
        <v>4558951</v>
      </c>
      <c r="E138" s="52">
        <f>SUM(E116,E117)+E136</f>
        <v>5847538</v>
      </c>
      <c r="F138" s="52">
        <f>E138/D138*100</f>
        <v>128.26498902927449</v>
      </c>
      <c r="I138" s="729">
        <f>SUM('1.1.sz.mell  '!G49-'1.sz.mell.'!C138)</f>
        <v>0</v>
      </c>
      <c r="J138" s="729">
        <f>SUM('1.1.sz.mell  '!H49-'1.sz.mell.'!D138)</f>
        <v>0</v>
      </c>
      <c r="K138" s="729">
        <f>SUM('1.1.sz.mell  '!I49-'1.sz.mell.'!E138)</f>
        <v>0</v>
      </c>
      <c r="L138" s="74"/>
    </row>
    <row r="139" spans="1:12" s="54" customFormat="1" ht="12.95" customHeight="1">
      <c r="A139" s="1803"/>
      <c r="B139" s="1803"/>
      <c r="C139" s="1803"/>
      <c r="D139" s="75"/>
      <c r="E139" s="75"/>
      <c r="F139" s="75"/>
    </row>
    <row r="140" spans="1:12">
      <c r="A140" s="1804" t="s">
        <v>180</v>
      </c>
      <c r="B140" s="1804"/>
      <c r="C140" s="1804"/>
      <c r="D140" s="1804"/>
      <c r="E140" s="1804"/>
      <c r="F140" s="1804"/>
    </row>
    <row r="141" spans="1:12" ht="9" customHeight="1" thickBot="1">
      <c r="A141" s="1800"/>
      <c r="B141" s="1800"/>
    </row>
    <row r="142" spans="1:12" ht="42.75">
      <c r="A142" s="3">
        <v>1</v>
      </c>
      <c r="B142" s="67" t="s">
        <v>181</v>
      </c>
      <c r="C142" s="76">
        <f>+C59-C116</f>
        <v>64000</v>
      </c>
      <c r="D142" s="76">
        <f>+D59-D116</f>
        <v>-783480</v>
      </c>
      <c r="E142" s="76">
        <f>+E59-E116</f>
        <v>203276</v>
      </c>
      <c r="F142" s="76">
        <f>E142/D142*100</f>
        <v>-25.945269821820595</v>
      </c>
      <c r="G142" s="77"/>
    </row>
    <row r="143" spans="1:12">
      <c r="C143" s="78"/>
      <c r="D143" s="78"/>
      <c r="E143" s="78"/>
      <c r="F143" s="78"/>
    </row>
    <row r="144" spans="1:12" ht="18" customHeight="1">
      <c r="A144" s="1805" t="s">
        <v>182</v>
      </c>
      <c r="B144" s="1805"/>
      <c r="C144" s="1805"/>
      <c r="D144" s="1805"/>
      <c r="E144" s="1805"/>
      <c r="F144" s="1805"/>
    </row>
    <row r="145" spans="1:10" ht="7.5" customHeight="1" thickBot="1">
      <c r="A145" s="1800"/>
      <c r="B145" s="1800"/>
    </row>
    <row r="146" spans="1:10" ht="58.5">
      <c r="A146" s="3" t="s">
        <v>4</v>
      </c>
      <c r="B146" s="67" t="s">
        <v>1829</v>
      </c>
      <c r="C146" s="17">
        <f>C147-C150</f>
        <v>-64000</v>
      </c>
      <c r="D146" s="17">
        <f>D147-D150</f>
        <v>133614</v>
      </c>
      <c r="E146" s="17">
        <f>E147-E150</f>
        <v>-22780</v>
      </c>
      <c r="F146" s="17">
        <f>E146/D146*100</f>
        <v>-17.049111620039817</v>
      </c>
    </row>
    <row r="147" spans="1:10" ht="30" customHeight="1">
      <c r="A147" s="18" t="s">
        <v>102</v>
      </c>
      <c r="B147" s="19" t="s">
        <v>183</v>
      </c>
      <c r="C147" s="79">
        <f t="shared" ref="C147:E148" si="24">+C63</f>
        <v>0</v>
      </c>
      <c r="D147" s="79">
        <f t="shared" si="24"/>
        <v>198462</v>
      </c>
      <c r="E147" s="79">
        <f t="shared" si="24"/>
        <v>2104786</v>
      </c>
      <c r="F147" s="79"/>
    </row>
    <row r="148" spans="1:10" ht="30" customHeight="1">
      <c r="A148" s="21" t="s">
        <v>184</v>
      </c>
      <c r="B148" s="22" t="s">
        <v>185</v>
      </c>
      <c r="C148" s="80">
        <f t="shared" si="24"/>
        <v>0</v>
      </c>
      <c r="D148" s="80">
        <f t="shared" si="24"/>
        <v>198462</v>
      </c>
      <c r="E148" s="80">
        <f t="shared" si="24"/>
        <v>2104786</v>
      </c>
      <c r="F148" s="80"/>
    </row>
    <row r="149" spans="1:10" ht="30" customHeight="1">
      <c r="A149" s="21" t="s">
        <v>186</v>
      </c>
      <c r="B149" s="81" t="s">
        <v>187</v>
      </c>
      <c r="C149" s="82">
        <f>+C71</f>
        <v>0</v>
      </c>
      <c r="D149" s="82">
        <f>+D71</f>
        <v>0</v>
      </c>
      <c r="E149" s="82">
        <f>+E71</f>
        <v>0</v>
      </c>
      <c r="F149" s="82"/>
    </row>
    <row r="150" spans="1:10" ht="30" customHeight="1">
      <c r="A150" s="29" t="s">
        <v>104</v>
      </c>
      <c r="B150" s="83" t="s">
        <v>188</v>
      </c>
      <c r="C150" s="84">
        <f>+C117</f>
        <v>64000</v>
      </c>
      <c r="D150" s="84">
        <f>+D117</f>
        <v>64848</v>
      </c>
      <c r="E150" s="84">
        <f>+E117</f>
        <v>2127566</v>
      </c>
      <c r="F150" s="84">
        <f>E150/D150*100</f>
        <v>3280.8506044905007</v>
      </c>
      <c r="J150" s="731"/>
    </row>
    <row r="151" spans="1:10" ht="30" customHeight="1">
      <c r="A151" s="14" t="s">
        <v>189</v>
      </c>
      <c r="B151" s="15" t="s">
        <v>190</v>
      </c>
      <c r="C151" s="84">
        <f>C118</f>
        <v>0</v>
      </c>
      <c r="D151" s="84">
        <f>D118</f>
        <v>0</v>
      </c>
      <c r="E151" s="84">
        <f>E118</f>
        <v>2072329</v>
      </c>
      <c r="F151" s="84"/>
    </row>
    <row r="152" spans="1:10" ht="30" customHeight="1">
      <c r="A152" s="33" t="s">
        <v>191</v>
      </c>
      <c r="B152" s="85" t="s">
        <v>192</v>
      </c>
      <c r="C152" s="35">
        <f>+C127</f>
        <v>64000</v>
      </c>
      <c r="D152" s="35">
        <f>+D127</f>
        <v>64848</v>
      </c>
      <c r="E152" s="35">
        <f>+E127</f>
        <v>55237</v>
      </c>
      <c r="F152" s="35">
        <f>E152/D152*100</f>
        <v>85.179188255613127</v>
      </c>
    </row>
  </sheetData>
  <sheetProtection selectLockedCells="1" selectUnlockedCells="1"/>
  <mergeCells count="7">
    <mergeCell ref="A145:B145"/>
    <mergeCell ref="A3:C3"/>
    <mergeCell ref="A81:C81"/>
    <mergeCell ref="A139:C139"/>
    <mergeCell ref="A141:B141"/>
    <mergeCell ref="A140:F140"/>
    <mergeCell ref="A144:F144"/>
  </mergeCells>
  <printOptions horizontalCentered="1"/>
  <pageMargins left="0.35433070866141736" right="0.31496062992125984" top="0.82677165354330717" bottom="0.43307086614173229" header="0.15748031496062992" footer="0.15748031496062992"/>
  <pageSetup paperSize="9" firstPageNumber="26" orientation="portrait" r:id="rId1"/>
  <headerFooter alignWithMargins="0">
    <oddHeader>&amp;C&amp;"Times New Roman CE,Félkövér"&amp;12
VECSÉS VÁROS ÖNKORMÁNYZAT2013. ÉVI KÖLTSÉGVETÉSÉNEK MÉRLEGE&amp;R&amp;"Times New Roman CE,Félkövér dőlt"&amp;12 &amp;"Times New Roman CE,Normál"1. sz. melléklet
Ezer Ft</oddHeader>
    <oddFooter>&amp;C- &amp;P -</oddFooter>
  </headerFooter>
  <rowBreaks count="4" manualBreakCount="4">
    <brk id="33" max="5" man="1"/>
    <brk id="62" max="5" man="1"/>
    <brk id="98" max="5" man="1"/>
    <brk id="126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28" zoomScaleNormal="130" workbookViewId="0">
      <selection activeCell="D54" sqref="D54"/>
    </sheetView>
  </sheetViews>
  <sheetFormatPr defaultRowHeight="12.75"/>
  <cols>
    <col min="1" max="1" width="6.5" style="151" customWidth="1"/>
    <col min="2" max="2" width="9.6640625" style="152" customWidth="1"/>
    <col min="3" max="3" width="63.33203125" style="152" customWidth="1"/>
    <col min="4" max="4" width="15.1640625" style="152" customWidth="1"/>
    <col min="5" max="6" width="15" style="152" customWidth="1"/>
    <col min="7" max="7" width="10.1640625" style="152" customWidth="1"/>
    <col min="8" max="16384" width="9.33203125" style="152"/>
  </cols>
  <sheetData>
    <row r="1" spans="1:7" s="436" customFormat="1" ht="21" customHeight="1">
      <c r="A1" s="433"/>
      <c r="B1" s="434"/>
      <c r="C1" s="435"/>
      <c r="D1" s="1944" t="s">
        <v>802</v>
      </c>
      <c r="E1" s="1944"/>
      <c r="F1" s="1944"/>
      <c r="G1" s="1944"/>
    </row>
    <row r="2" spans="1:7" s="155" customFormat="1" ht="30" customHeight="1">
      <c r="A2" s="1901" t="s">
        <v>760</v>
      </c>
      <c r="B2" s="1901"/>
      <c r="C2" s="153" t="s">
        <v>761</v>
      </c>
      <c r="D2" s="456"/>
      <c r="E2" s="456"/>
      <c r="F2" s="456"/>
      <c r="G2" s="456"/>
    </row>
    <row r="3" spans="1:7" s="155" customFormat="1" ht="30" customHeight="1" thickBot="1">
      <c r="A3" s="1899" t="s">
        <v>258</v>
      </c>
      <c r="B3" s="1899"/>
      <c r="C3" s="156" t="s">
        <v>1385</v>
      </c>
      <c r="D3" s="437"/>
      <c r="E3" s="437"/>
      <c r="F3" s="437"/>
      <c r="G3" s="437"/>
    </row>
    <row r="4" spans="1:7" s="159" customFormat="1" ht="15.95" customHeight="1" thickBot="1">
      <c r="A4" s="157"/>
      <c r="B4" s="157"/>
      <c r="C4" s="157"/>
      <c r="D4" s="1908" t="s">
        <v>194</v>
      </c>
      <c r="E4" s="1908"/>
      <c r="F4" s="1908"/>
      <c r="G4" s="1908"/>
    </row>
    <row r="5" spans="1:7" ht="35.25" customHeight="1" thickBo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7" s="165" customFormat="1" ht="15" customHeight="1">
      <c r="A6" s="160">
        <v>1</v>
      </c>
      <c r="B6" s="163">
        <v>2</v>
      </c>
      <c r="C6" s="163">
        <v>3</v>
      </c>
      <c r="D6" s="164">
        <v>4</v>
      </c>
      <c r="E6" s="164">
        <v>5</v>
      </c>
      <c r="F6" s="164">
        <v>6</v>
      </c>
      <c r="G6" s="164">
        <v>7</v>
      </c>
    </row>
    <row r="7" spans="1:7" s="165" customFormat="1" ht="15" customHeight="1">
      <c r="A7" s="256"/>
      <c r="B7" s="257"/>
      <c r="C7" s="500" t="s">
        <v>196</v>
      </c>
      <c r="D7" s="258"/>
      <c r="E7" s="258"/>
      <c r="F7" s="258"/>
      <c r="G7" s="258"/>
    </row>
    <row r="8" spans="1:7" s="173" customFormat="1" ht="15" customHeight="1">
      <c r="A8" s="170" t="s">
        <v>4</v>
      </c>
      <c r="B8" s="171"/>
      <c r="C8" s="172" t="s">
        <v>762</v>
      </c>
      <c r="D8" s="242">
        <f>SUM(D9:D16)</f>
        <v>0</v>
      </c>
      <c r="E8" s="242">
        <f t="shared" ref="E8:F8" si="0">SUM(E9:E16)</f>
        <v>0</v>
      </c>
      <c r="F8" s="242">
        <f t="shared" si="0"/>
        <v>0</v>
      </c>
      <c r="G8" s="242"/>
    </row>
    <row r="9" spans="1:7" s="173" customFormat="1" ht="15" customHeight="1">
      <c r="A9" s="181"/>
      <c r="B9" s="175" t="s">
        <v>102</v>
      </c>
      <c r="C9" s="19" t="s">
        <v>22</v>
      </c>
      <c r="D9" s="245"/>
      <c r="E9" s="245"/>
      <c r="F9" s="245"/>
      <c r="G9" s="245"/>
    </row>
    <row r="10" spans="1:7" s="173" customFormat="1" ht="15" customHeight="1">
      <c r="A10" s="174"/>
      <c r="B10" s="175" t="s">
        <v>104</v>
      </c>
      <c r="C10" s="15" t="s">
        <v>24</v>
      </c>
      <c r="D10" s="243"/>
      <c r="E10" s="243"/>
      <c r="F10" s="243"/>
      <c r="G10" s="243"/>
    </row>
    <row r="11" spans="1:7" s="173" customFormat="1" ht="15" customHeight="1">
      <c r="A11" s="174"/>
      <c r="B11" s="175" t="s">
        <v>106</v>
      </c>
      <c r="C11" s="15" t="s">
        <v>26</v>
      </c>
      <c r="D11" s="243"/>
      <c r="E11" s="243"/>
      <c r="F11" s="243"/>
      <c r="G11" s="243"/>
    </row>
    <row r="12" spans="1:7" s="173" customFormat="1" ht="15" customHeight="1">
      <c r="A12" s="174"/>
      <c r="B12" s="175" t="s">
        <v>108</v>
      </c>
      <c r="C12" s="15" t="s">
        <v>28</v>
      </c>
      <c r="D12" s="243"/>
      <c r="E12" s="243"/>
      <c r="F12" s="243"/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/>
      <c r="E13" s="243"/>
      <c r="F13" s="243"/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4"/>
      <c r="E14" s="244"/>
      <c r="F14" s="244"/>
      <c r="G14" s="244"/>
    </row>
    <row r="15" spans="1:7" s="177" customFormat="1" ht="15" customHeight="1">
      <c r="A15" s="174"/>
      <c r="B15" s="175" t="s">
        <v>437</v>
      </c>
      <c r="C15" s="15" t="s">
        <v>34</v>
      </c>
      <c r="D15" s="243"/>
      <c r="E15" s="243"/>
      <c r="F15" s="243"/>
      <c r="G15" s="243"/>
    </row>
    <row r="16" spans="1:7" s="177" customFormat="1" ht="15" customHeight="1">
      <c r="A16" s="183"/>
      <c r="B16" s="184" t="s">
        <v>439</v>
      </c>
      <c r="C16" s="22" t="s">
        <v>36</v>
      </c>
      <c r="D16" s="246"/>
      <c r="E16" s="246"/>
      <c r="F16" s="246"/>
      <c r="G16" s="246"/>
    </row>
    <row r="17" spans="1:7" s="173" customFormat="1" ht="15" customHeight="1">
      <c r="A17" s="170" t="s">
        <v>5</v>
      </c>
      <c r="B17" s="171"/>
      <c r="C17" s="211" t="s">
        <v>1635</v>
      </c>
      <c r="D17" s="242">
        <f>SUM(D18:D21)</f>
        <v>0</v>
      </c>
      <c r="E17" s="242">
        <f t="shared" ref="E17:F17" si="1">SUM(E18:E21)</f>
        <v>1990</v>
      </c>
      <c r="F17" s="242">
        <f t="shared" si="1"/>
        <v>1990</v>
      </c>
      <c r="G17" s="242">
        <f>F17/E17*100</f>
        <v>100</v>
      </c>
    </row>
    <row r="18" spans="1:7" s="177" customFormat="1" ht="15" customHeight="1">
      <c r="A18" s="174"/>
      <c r="B18" s="175" t="s">
        <v>6</v>
      </c>
      <c r="C18" s="27" t="s">
        <v>1636</v>
      </c>
      <c r="D18" s="243"/>
      <c r="E18" s="243">
        <v>1990</v>
      </c>
      <c r="F18" s="243">
        <v>1990</v>
      </c>
      <c r="G18" s="243">
        <f>F18/E18*100</f>
        <v>100</v>
      </c>
    </row>
    <row r="19" spans="1:7" s="177" customFormat="1" ht="15" customHeight="1">
      <c r="A19" s="174"/>
      <c r="B19" s="175" t="s">
        <v>8</v>
      </c>
      <c r="C19" s="15" t="s">
        <v>1637</v>
      </c>
      <c r="D19" s="243"/>
      <c r="E19" s="243"/>
      <c r="F19" s="243"/>
      <c r="G19" s="243"/>
    </row>
    <row r="20" spans="1:7" s="177" customFormat="1" ht="15" customHeight="1">
      <c r="A20" s="174"/>
      <c r="B20" s="175" t="s">
        <v>10</v>
      </c>
      <c r="C20" s="15" t="s">
        <v>766</v>
      </c>
      <c r="D20" s="243"/>
      <c r="E20" s="243"/>
      <c r="F20" s="243"/>
      <c r="G20" s="243"/>
    </row>
    <row r="21" spans="1:7" s="177" customFormat="1" ht="15" customHeight="1">
      <c r="A21" s="174"/>
      <c r="B21" s="175" t="s">
        <v>12</v>
      </c>
      <c r="C21" s="15" t="s">
        <v>767</v>
      </c>
      <c r="D21" s="243"/>
      <c r="E21" s="243"/>
      <c r="F21" s="243"/>
      <c r="G21" s="243"/>
    </row>
    <row r="22" spans="1:7" s="177" customFormat="1" ht="15" customHeight="1">
      <c r="A22" s="170" t="s">
        <v>19</v>
      </c>
      <c r="B22" s="12"/>
      <c r="C22" s="12" t="s">
        <v>768</v>
      </c>
      <c r="D22" s="209"/>
      <c r="E22" s="209"/>
      <c r="F22" s="209"/>
      <c r="G22" s="209"/>
    </row>
    <row r="23" spans="1:7" s="177" customFormat="1" ht="15" customHeight="1">
      <c r="A23" s="170" t="s">
        <v>149</v>
      </c>
      <c r="B23" s="12"/>
      <c r="C23" s="12" t="s">
        <v>769</v>
      </c>
      <c r="D23" s="243">
        <v>0</v>
      </c>
      <c r="E23" s="243"/>
      <c r="F23" s="243"/>
      <c r="G23" s="243" t="e">
        <f>F23/E23*100</f>
        <v>#DIV/0!</v>
      </c>
    </row>
    <row r="24" spans="1:7" s="173" customFormat="1" ht="15" customHeight="1">
      <c r="A24" s="170" t="s">
        <v>38</v>
      </c>
      <c r="B24" s="171"/>
      <c r="C24" s="12" t="s">
        <v>770</v>
      </c>
      <c r="D24" s="243"/>
      <c r="E24" s="243"/>
      <c r="F24" s="243"/>
      <c r="G24" s="243"/>
    </row>
    <row r="25" spans="1:7" s="173" customFormat="1" ht="25.5" customHeight="1">
      <c r="A25" s="170" t="s">
        <v>48</v>
      </c>
      <c r="B25" s="198"/>
      <c r="C25" s="12" t="s">
        <v>771</v>
      </c>
      <c r="D25" s="254">
        <f>+D26+D27</f>
        <v>0</v>
      </c>
      <c r="E25" s="254">
        <f t="shared" ref="E25:F25" si="2">+E26+E27</f>
        <v>0</v>
      </c>
      <c r="F25" s="254">
        <f t="shared" si="2"/>
        <v>0</v>
      </c>
      <c r="G25" s="254"/>
    </row>
    <row r="26" spans="1:7" s="173" customFormat="1" ht="15" customHeight="1">
      <c r="A26" s="181"/>
      <c r="B26" s="188" t="s">
        <v>49</v>
      </c>
      <c r="C26" s="19" t="s">
        <v>772</v>
      </c>
      <c r="D26" s="243"/>
      <c r="E26" s="243"/>
      <c r="F26" s="243"/>
      <c r="G26" s="243"/>
    </row>
    <row r="27" spans="1:7" s="173" customFormat="1" ht="15" customHeight="1">
      <c r="A27" s="191"/>
      <c r="B27" s="192" t="s">
        <v>62</v>
      </c>
      <c r="C27" s="24" t="s">
        <v>773</v>
      </c>
      <c r="D27" s="243"/>
      <c r="E27" s="243"/>
      <c r="F27" s="243"/>
      <c r="G27" s="243"/>
    </row>
    <row r="28" spans="1:7" s="177" customFormat="1" ht="15" customHeight="1">
      <c r="A28" s="201" t="s">
        <v>178</v>
      </c>
      <c r="B28" s="202"/>
      <c r="C28" s="12" t="s">
        <v>274</v>
      </c>
      <c r="D28" s="243">
        <v>54655</v>
      </c>
      <c r="E28" s="243">
        <v>57093</v>
      </c>
      <c r="F28" s="243">
        <v>57093</v>
      </c>
      <c r="G28" s="243">
        <f>F28/E28*100</f>
        <v>100</v>
      </c>
    </row>
    <row r="29" spans="1:7" s="177" customFormat="1" ht="15" customHeight="1">
      <c r="A29" s="201"/>
      <c r="B29" s="202"/>
      <c r="C29" s="12" t="s">
        <v>774</v>
      </c>
      <c r="D29" s="209"/>
      <c r="E29" s="209"/>
      <c r="F29" s="209"/>
      <c r="G29" s="209"/>
    </row>
    <row r="30" spans="1:7" s="177" customFormat="1" ht="15" customHeight="1">
      <c r="A30" s="256" t="s">
        <v>74</v>
      </c>
      <c r="B30" s="257"/>
      <c r="C30" s="467" t="s">
        <v>775</v>
      </c>
      <c r="D30" s="258">
        <f>SUM(D8,D17,D22,D23,D24,D25,D28)</f>
        <v>54655</v>
      </c>
      <c r="E30" s="258">
        <f t="shared" ref="E30:F30" si="3">SUM(E8,E17,E22,E23,E24,E25,E28)</f>
        <v>59083</v>
      </c>
      <c r="F30" s="258">
        <f t="shared" si="3"/>
        <v>59083</v>
      </c>
      <c r="G30" s="258">
        <f>F30/E30*100</f>
        <v>100</v>
      </c>
    </row>
    <row r="31" spans="1:7" s="177" customFormat="1" ht="15" customHeight="1">
      <c r="A31" s="259"/>
      <c r="B31" s="259"/>
      <c r="C31" s="260"/>
      <c r="D31" s="505"/>
      <c r="E31" s="505"/>
      <c r="F31" s="505"/>
      <c r="G31" s="505"/>
    </row>
    <row r="32" spans="1:7" ht="15" customHeight="1">
      <c r="A32" s="506"/>
      <c r="B32" s="507"/>
      <c r="C32" s="507"/>
      <c r="D32" s="508"/>
      <c r="E32" s="508"/>
      <c r="F32" s="508"/>
      <c r="G32" s="508"/>
    </row>
    <row r="33" spans="1:7" s="165" customFormat="1" ht="15" customHeight="1">
      <c r="A33" s="256"/>
      <c r="B33" s="257"/>
      <c r="C33" s="500" t="s">
        <v>197</v>
      </c>
      <c r="D33" s="258"/>
      <c r="E33" s="258"/>
      <c r="F33" s="258"/>
      <c r="G33" s="258"/>
    </row>
    <row r="34" spans="1:7" s="221" customFormat="1" ht="15" customHeight="1">
      <c r="A34" s="170" t="s">
        <v>4</v>
      </c>
      <c r="B34" s="12"/>
      <c r="C34" s="67" t="s">
        <v>101</v>
      </c>
      <c r="D34" s="242">
        <f>SUM(D35:D39)</f>
        <v>54655</v>
      </c>
      <c r="E34" s="242">
        <f t="shared" ref="E34:F34" si="4">SUM(E35:E39)</f>
        <v>59083</v>
      </c>
      <c r="F34" s="242">
        <f t="shared" si="4"/>
        <v>59083</v>
      </c>
      <c r="G34" s="242">
        <f>F34/E34*100</f>
        <v>100</v>
      </c>
    </row>
    <row r="35" spans="1:7" ht="15" customHeight="1">
      <c r="A35" s="193"/>
      <c r="B35" s="220" t="s">
        <v>102</v>
      </c>
      <c r="C35" s="27" t="s">
        <v>103</v>
      </c>
      <c r="D35" s="250">
        <v>42530</v>
      </c>
      <c r="E35" s="250">
        <v>47283</v>
      </c>
      <c r="F35" s="250">
        <v>47283</v>
      </c>
      <c r="G35" s="250">
        <f>F35/E35*100</f>
        <v>100</v>
      </c>
    </row>
    <row r="36" spans="1:7" ht="15" customHeight="1">
      <c r="A36" s="174"/>
      <c r="B36" s="189" t="s">
        <v>104</v>
      </c>
      <c r="C36" s="15" t="s">
        <v>105</v>
      </c>
      <c r="D36" s="243">
        <v>11704</v>
      </c>
      <c r="E36" s="243">
        <v>11039</v>
      </c>
      <c r="F36" s="243">
        <v>11039</v>
      </c>
      <c r="G36" s="243">
        <f>F36/E36*100</f>
        <v>100</v>
      </c>
    </row>
    <row r="37" spans="1:7" ht="15" customHeight="1">
      <c r="A37" s="174"/>
      <c r="B37" s="189" t="s">
        <v>106</v>
      </c>
      <c r="C37" s="15" t="s">
        <v>107</v>
      </c>
      <c r="D37" s="243">
        <v>421</v>
      </c>
      <c r="E37" s="243">
        <v>761</v>
      </c>
      <c r="F37" s="243">
        <v>761</v>
      </c>
      <c r="G37" s="243">
        <f>F37/E37*100</f>
        <v>100</v>
      </c>
    </row>
    <row r="38" spans="1:7" ht="15" customHeight="1">
      <c r="A38" s="174"/>
      <c r="B38" s="189" t="s">
        <v>108</v>
      </c>
      <c r="C38" s="15" t="s">
        <v>109</v>
      </c>
      <c r="D38" s="243"/>
      <c r="E38" s="243"/>
      <c r="F38" s="243"/>
      <c r="G38" s="243"/>
    </row>
    <row r="39" spans="1:7" ht="15" customHeight="1">
      <c r="A39" s="174"/>
      <c r="B39" s="189" t="s">
        <v>110</v>
      </c>
      <c r="C39" s="15" t="s">
        <v>111</v>
      </c>
      <c r="D39" s="243"/>
      <c r="E39" s="243"/>
      <c r="F39" s="243"/>
      <c r="G39" s="243"/>
    </row>
    <row r="40" spans="1:7" ht="15" customHeight="1">
      <c r="A40" s="170" t="s">
        <v>5</v>
      </c>
      <c r="B40" s="12"/>
      <c r="C40" s="67" t="s">
        <v>787</v>
      </c>
      <c r="D40" s="242">
        <f>SUM(D41:D44)</f>
        <v>0</v>
      </c>
      <c r="E40" s="242">
        <f t="shared" ref="E40:F40" si="5">SUM(E41:E44)</f>
        <v>0</v>
      </c>
      <c r="F40" s="242">
        <f t="shared" si="5"/>
        <v>0</v>
      </c>
      <c r="G40" s="242"/>
    </row>
    <row r="41" spans="1:7" s="221" customFormat="1" ht="15" customHeight="1">
      <c r="A41" s="193"/>
      <c r="B41" s="220" t="s">
        <v>6</v>
      </c>
      <c r="C41" s="27" t="s">
        <v>780</v>
      </c>
      <c r="D41" s="250"/>
      <c r="E41" s="250"/>
      <c r="F41" s="250"/>
      <c r="G41" s="250"/>
    </row>
    <row r="42" spans="1:7" ht="15" customHeight="1">
      <c r="A42" s="174"/>
      <c r="B42" s="189" t="s">
        <v>8</v>
      </c>
      <c r="C42" s="15" t="s">
        <v>134</v>
      </c>
      <c r="D42" s="243"/>
      <c r="E42" s="243"/>
      <c r="F42" s="243"/>
      <c r="G42" s="243"/>
    </row>
    <row r="43" spans="1:7" ht="30" customHeight="1">
      <c r="A43" s="174"/>
      <c r="B43" s="189" t="s">
        <v>14</v>
      </c>
      <c r="C43" s="15" t="s">
        <v>137</v>
      </c>
      <c r="D43" s="243"/>
      <c r="E43" s="243"/>
      <c r="F43" s="243"/>
      <c r="G43" s="243"/>
    </row>
    <row r="44" spans="1:7" ht="15" customHeight="1">
      <c r="A44" s="174"/>
      <c r="B44" s="189" t="s">
        <v>18</v>
      </c>
      <c r="C44" s="15" t="s">
        <v>781</v>
      </c>
      <c r="D44" s="243"/>
      <c r="E44" s="243"/>
      <c r="F44" s="243"/>
      <c r="G44" s="243"/>
    </row>
    <row r="45" spans="1:7" ht="15" customHeight="1">
      <c r="A45" s="170" t="s">
        <v>19</v>
      </c>
      <c r="B45" s="12"/>
      <c r="C45" s="67" t="s">
        <v>782</v>
      </c>
      <c r="D45" s="209"/>
      <c r="E45" s="209"/>
      <c r="F45" s="209"/>
      <c r="G45" s="209"/>
    </row>
    <row r="46" spans="1:7" s="177" customFormat="1" ht="15" customHeight="1">
      <c r="A46" s="170"/>
      <c r="B46" s="12"/>
      <c r="C46" s="67" t="s">
        <v>783</v>
      </c>
      <c r="D46" s="209"/>
      <c r="E46" s="209"/>
      <c r="F46" s="209"/>
      <c r="G46" s="209"/>
    </row>
    <row r="47" spans="1:7" ht="15" customHeight="1">
      <c r="A47" s="256" t="s">
        <v>149</v>
      </c>
      <c r="B47" s="257"/>
      <c r="C47" s="467" t="s">
        <v>784</v>
      </c>
      <c r="D47" s="258">
        <f>+D34+D40+D45</f>
        <v>54655</v>
      </c>
      <c r="E47" s="258">
        <f t="shared" ref="E47:F47" si="6">+E34+E40+E45</f>
        <v>59083</v>
      </c>
      <c r="F47" s="258">
        <f t="shared" si="6"/>
        <v>59083</v>
      </c>
      <c r="G47" s="258">
        <f>F47/E47*100</f>
        <v>100</v>
      </c>
    </row>
    <row r="48" spans="1:7" ht="15" customHeight="1">
      <c r="A48" s="271"/>
      <c r="B48" s="272"/>
      <c r="C48" s="272"/>
      <c r="D48" s="272"/>
      <c r="E48" s="272"/>
      <c r="F48" s="272"/>
      <c r="G48" s="272"/>
    </row>
    <row r="49" spans="1:7" ht="15" customHeight="1">
      <c r="A49" s="232" t="s">
        <v>289</v>
      </c>
      <c r="B49" s="509"/>
      <c r="C49" s="510"/>
      <c r="D49" s="511">
        <v>29.25</v>
      </c>
      <c r="E49" s="511">
        <v>29.25</v>
      </c>
      <c r="F49" s="511">
        <v>29.25</v>
      </c>
      <c r="G49" s="511"/>
    </row>
    <row r="50" spans="1:7" ht="15" customHeight="1">
      <c r="A50" s="232" t="s">
        <v>290</v>
      </c>
      <c r="B50" s="509"/>
      <c r="C50" s="510"/>
      <c r="D50" s="512"/>
      <c r="E50" s="512"/>
      <c r="F50" s="512"/>
      <c r="G50" s="512"/>
    </row>
  </sheetData>
  <sheetProtection selectLockedCells="1" selectUnlockedCells="1"/>
  <mergeCells count="5">
    <mergeCell ref="D1:G1"/>
    <mergeCell ref="A2:B2"/>
    <mergeCell ref="A3:B3"/>
    <mergeCell ref="A5:B5"/>
    <mergeCell ref="D4:G4"/>
  </mergeCells>
  <printOptions horizontalCentered="1"/>
  <pageMargins left="0.31496062992125984" right="0.19685039370078741" top="0.31496062992125984" bottom="0.39370078740157483" header="0.15748031496062992" footer="0.15748031496062992"/>
  <pageSetup paperSize="9" scale="81" firstPageNumber="59" orientation="portrait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view="pageBreakPreview" topLeftCell="A31" zoomScale="110" zoomScaleNormal="130" zoomScaleSheetLayoutView="110" workbookViewId="0">
      <selection activeCell="F56" sqref="F56"/>
    </sheetView>
  </sheetViews>
  <sheetFormatPr defaultRowHeight="12.75"/>
  <cols>
    <col min="1" max="1" width="7.6640625" style="151" customWidth="1"/>
    <col min="2" max="2" width="9.6640625" style="152" customWidth="1"/>
    <col min="3" max="3" width="61.5" style="152" customWidth="1"/>
    <col min="4" max="4" width="15.5" style="152" customWidth="1"/>
    <col min="5" max="6" width="14.5" style="152" customWidth="1"/>
    <col min="7" max="7" width="9.6640625" style="152" customWidth="1"/>
    <col min="8" max="9" width="9.33203125" style="152"/>
    <col min="10" max="10" width="16.1640625" style="152" customWidth="1"/>
    <col min="11" max="11" width="12.6640625" style="152" customWidth="1"/>
    <col min="12" max="16384" width="9.33203125" style="152"/>
  </cols>
  <sheetData>
    <row r="1" spans="1:10" s="436" customFormat="1" ht="14.25" customHeight="1">
      <c r="A1" s="433"/>
      <c r="B1" s="434"/>
      <c r="C1" s="435"/>
      <c r="D1" s="1944" t="s">
        <v>803</v>
      </c>
      <c r="E1" s="1944"/>
      <c r="F1" s="1944"/>
      <c r="G1" s="1944"/>
    </row>
    <row r="2" spans="1:10" s="155" customFormat="1" ht="31.5" customHeight="1">
      <c r="A2" s="1901" t="s">
        <v>760</v>
      </c>
      <c r="B2" s="1901"/>
      <c r="C2" s="153" t="s">
        <v>804</v>
      </c>
      <c r="D2" s="1950" t="s">
        <v>1259</v>
      </c>
      <c r="E2" s="456"/>
      <c r="F2" s="456"/>
      <c r="G2" s="456"/>
    </row>
    <row r="3" spans="1:10" s="155" customFormat="1" ht="30" customHeight="1" thickBot="1">
      <c r="A3" s="1899" t="s">
        <v>258</v>
      </c>
      <c r="B3" s="1899"/>
      <c r="C3" s="156"/>
      <c r="D3" s="1951"/>
      <c r="E3" s="437"/>
      <c r="F3" s="437"/>
      <c r="G3" s="437"/>
    </row>
    <row r="4" spans="1:10" s="159" customFormat="1" ht="13.5" customHeight="1" thickBot="1">
      <c r="A4" s="157"/>
      <c r="B4" s="157"/>
      <c r="C4" s="157"/>
      <c r="D4" s="1908" t="s">
        <v>194</v>
      </c>
      <c r="E4" s="1908"/>
      <c r="F4" s="1908"/>
      <c r="G4" s="1908"/>
    </row>
    <row r="5" spans="1:10" ht="30.75" customHeight="1" thickBo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10" s="165" customFormat="1" ht="12.95" customHeight="1">
      <c r="A6" s="160">
        <v>1</v>
      </c>
      <c r="B6" s="163">
        <v>2</v>
      </c>
      <c r="C6" s="163">
        <v>3</v>
      </c>
      <c r="D6" s="164">
        <v>4</v>
      </c>
      <c r="E6" s="164">
        <v>5</v>
      </c>
      <c r="F6" s="164">
        <v>6</v>
      </c>
      <c r="G6" s="164">
        <v>7</v>
      </c>
    </row>
    <row r="7" spans="1:10" s="165" customFormat="1" ht="15.95" customHeight="1">
      <c r="A7" s="256"/>
      <c r="B7" s="257"/>
      <c r="C7" s="500" t="s">
        <v>196</v>
      </c>
      <c r="D7" s="258"/>
      <c r="E7" s="258"/>
      <c r="F7" s="258"/>
      <c r="G7" s="258"/>
    </row>
    <row r="8" spans="1:10" s="173" customFormat="1" ht="15" customHeight="1">
      <c r="A8" s="170" t="s">
        <v>4</v>
      </c>
      <c r="B8" s="171"/>
      <c r="C8" s="172" t="s">
        <v>762</v>
      </c>
      <c r="D8" s="242">
        <f>SUM(D9:D16)</f>
        <v>238143</v>
      </c>
      <c r="E8" s="242">
        <f t="shared" ref="E8:F8" si="0">SUM(E9:E16)</f>
        <v>252538</v>
      </c>
      <c r="F8" s="242">
        <f t="shared" si="0"/>
        <v>253441</v>
      </c>
      <c r="G8" s="242">
        <f>F8/E8*100</f>
        <v>100.35756994986893</v>
      </c>
      <c r="J8" s="1282">
        <f>SUM('5.1. sz. mell. '!F8+'5.2. sz. mell.  '!F8+'5.3 sz. mell'!F8+'5.4. sz mell'!F8+'5.5. sz. mell.  '!F8+'5.6. sz. mell'!F8+'5.7. sz. mell.'!F8+'5.8. sz. mell.'!F8+'5.9. sz. mell. '!F8+'5.10. sz. mell.'!F8+'5.11 sz. mell '!F8)</f>
        <v>253441</v>
      </c>
    </row>
    <row r="9" spans="1:10" s="173" customFormat="1" ht="15" customHeight="1">
      <c r="A9" s="181"/>
      <c r="B9" s="175" t="s">
        <v>102</v>
      </c>
      <c r="C9" s="19" t="s">
        <v>22</v>
      </c>
      <c r="D9" s="245">
        <f>SUM('.'!D9+'..'!D9+'...'!D9+'.-'!D9+'.-.'!D9+','!D9+'5.1. sz. mell. '!D9+'5.2. sz. mell.  '!D9+'5.3 sz. mell'!D9+'5.4. sz mell'!D9+'5.5. sz. mell.  '!D9+'5.6. sz. mell'!D9+'5.7. sz. mell.'!D9+'5.8. sz. mell.'!D9+'5.9. sz. mell. '!D9+'5.10. sz. mell.'!D9+'5.11 sz. mell '!D9)</f>
        <v>0</v>
      </c>
      <c r="E9" s="245">
        <f>SUM('.'!E9+'..'!E9+'...'!E9+'.-'!E9+'.-.'!E9+','!E9+'5.1. sz. mell. '!E9+'5.2. sz. mell.  '!E9+'5.3 sz. mell'!E9+'5.4. sz mell'!E9+'5.5. sz. mell.  '!E9+'5.6. sz. mell'!E9+'5.7. sz. mell.'!E9+'5.8. sz. mell.'!E9+'5.9. sz. mell. '!E9+'5.10. sz. mell.'!E9+'5.11 sz. mell '!E9)</f>
        <v>0</v>
      </c>
      <c r="F9" s="245">
        <f>SUM('.'!F9+'..'!F9+'...'!F9+'.-'!F9+'.-.'!F9+','!F9+'5.1. sz. mell. '!F9+'5.2. sz. mell.  '!F9+'5.3 sz. mell'!F9+'5.4. sz mell'!F9+'5.5. sz. mell.  '!F9+'5.6. sz. mell'!F9+'5.7. sz. mell.'!F9+'5.8. sz. mell.'!F9+'5.9. sz. mell. '!F9+'5.10. sz. mell.'!F9+'5.11 sz. mell '!F9)</f>
        <v>0</v>
      </c>
      <c r="G9" s="245"/>
    </row>
    <row r="10" spans="1:10" s="173" customFormat="1" ht="15" customHeight="1">
      <c r="A10" s="174"/>
      <c r="B10" s="175" t="s">
        <v>104</v>
      </c>
      <c r="C10" s="15" t="s">
        <v>24</v>
      </c>
      <c r="D10" s="243">
        <f>SUM('.'!D10+'..'!D10+'...'!D10+'.-'!D10+'.-.'!D10+','!D10+'5.1. sz. mell. '!D10+'5.2. sz. mell.  '!D10+'5.3 sz. mell'!D10+'5.4. sz mell'!D10+'5.5. sz. mell.  '!D10+'5.6. sz. mell'!D10+'5.7. sz. mell.'!D10+'5.8. sz. mell.'!D10+'5.9. sz. mell. '!D10+'5.10. sz. mell.'!D10+'5.11 sz. mell '!D10)</f>
        <v>184960</v>
      </c>
      <c r="E10" s="243">
        <f>SUM('.'!E10+'..'!E10+'...'!E10+'.-'!E10+'.-.'!E10+','!E10+'5.1. sz. mell. '!E10+'5.2. sz. mell.  '!E10+'5.3 sz. mell'!E10+'5.4. sz mell'!E10+'5.5. sz. mell.  '!E10+'5.6. sz. mell'!E10+'5.7. sz. mell.'!E10+'5.8. sz. mell.'!E10+'5.9. sz. mell. '!E10+'5.10. sz. mell.'!E10+'5.11 sz. mell '!E10)</f>
        <v>193287</v>
      </c>
      <c r="F10" s="243">
        <f>SUM('.'!F10+'..'!F10+'...'!F10+'.-'!F10+'.-.'!F10+','!F10+'5.1. sz. mell. '!F10+'5.2. sz. mell.  '!F10+'5.3 sz. mell'!F10+'5.4. sz mell'!F10+'5.5. sz. mell.  '!F10+'5.6. sz. mell'!F10+'5.7. sz. mell.'!F10+'5.8. sz. mell.'!F10+'5.9. sz. mell. '!F10+'5.10. sz. mell.'!F10+'5.11 sz. mell '!F10)</f>
        <v>194190</v>
      </c>
      <c r="G10" s="243">
        <f t="shared" ref="G10:G63" si="1">F10/E10*100</f>
        <v>100.46718092784306</v>
      </c>
    </row>
    <row r="11" spans="1:10" s="173" customFormat="1" ht="15" customHeight="1">
      <c r="A11" s="174"/>
      <c r="B11" s="175" t="s">
        <v>106</v>
      </c>
      <c r="C11" s="15" t="s">
        <v>26</v>
      </c>
      <c r="D11" s="243">
        <f>SUM('.'!D11+'..'!D11+'...'!D11+'.-'!D11+'.-.'!D11+','!D11+'5.1. sz. mell. '!D11+'5.2. sz. mell.  '!D11+'5.3 sz. mell'!D11+'5.4. sz mell'!D11+'5.5. sz. mell.  '!D11+'5.6. sz. mell'!D11+'5.7. sz. mell.'!D11+'5.8. sz. mell.'!D11+'5.9. sz. mell. '!D11+'5.10. sz. mell.'!D11+'5.11 sz. mell '!D11)</f>
        <v>4700</v>
      </c>
      <c r="E11" s="243">
        <f>SUM('.'!E11+'..'!E11+'...'!E11+'.-'!E11+'.-.'!E11+','!E11+'5.1. sz. mell. '!E11+'5.2. sz. mell.  '!E11+'5.3 sz. mell'!E11+'5.4. sz mell'!E11+'5.5. sz. mell.  '!E11+'5.6. sz. mell'!E11+'5.7. sz. mell.'!E11+'5.8. sz. mell.'!E11+'5.9. sz. mell. '!E11+'5.10. sz. mell.'!E11+'5.11 sz. mell '!E11)</f>
        <v>8812</v>
      </c>
      <c r="F11" s="243">
        <f>SUM('.'!F11+'..'!F11+'...'!F11+'.-'!F11+'.-.'!F11+','!F11+'5.1. sz. mell. '!F11+'5.2. sz. mell.  '!F11+'5.3 sz. mell'!F11+'5.4. sz mell'!F11+'5.5. sz. mell.  '!F11+'5.6. sz. mell'!F11+'5.7. sz. mell.'!F11+'5.8. sz. mell.'!F11+'5.9. sz. mell. '!F11+'5.10. sz. mell.'!F11+'5.11 sz. mell '!F11)</f>
        <v>8812</v>
      </c>
      <c r="G11" s="243">
        <f t="shared" si="1"/>
        <v>100</v>
      </c>
    </row>
    <row r="12" spans="1:10" s="173" customFormat="1" ht="15" customHeight="1">
      <c r="A12" s="174"/>
      <c r="B12" s="175" t="s">
        <v>108</v>
      </c>
      <c r="C12" s="15" t="s">
        <v>28</v>
      </c>
      <c r="D12" s="243">
        <f>SUM('.'!D12+'..'!D12+'...'!D12+'.-'!D12+'.-.'!D12+','!D12+'5.1. sz. mell. '!D12+'5.2. sz. mell.  '!D12+'5.3 sz. mell'!D12+'5.4. sz mell'!D12+'5.5. sz. mell.  '!D12+'5.6. sz. mell'!D12+'5.7. sz. mell.'!D12+'5.8. sz. mell.'!D12+'5.9. sz. mell. '!D12+'5.10. sz. mell.'!D12+'5.11 sz. mell '!D12)</f>
        <v>2571</v>
      </c>
      <c r="E12" s="243">
        <f>SUM('.'!E12+'..'!E12+'...'!E12+'.-'!E12+'.-.'!E12+','!E12+'5.1. sz. mell. '!E12+'5.2. sz. mell.  '!E12+'5.3 sz. mell'!E12+'5.4. sz mell'!E12+'5.5. sz. mell.  '!E12+'5.6. sz. mell'!E12+'5.7. sz. mell.'!E12+'5.8. sz. mell.'!E12+'5.9. sz. mell. '!E12+'5.10. sz. mell.'!E12+'5.11 sz. mell '!E12)</f>
        <v>1931</v>
      </c>
      <c r="F12" s="243">
        <f>SUM('.'!F12+'..'!F12+'...'!F12+'.-'!F12+'.-.'!F12+','!F12+'5.1. sz. mell. '!F12+'5.2. sz. mell.  '!F12+'5.3 sz. mell'!F12+'5.4. sz mell'!F12+'5.5. sz. mell.  '!F12+'5.6. sz. mell'!F12+'5.7. sz. mell.'!F12+'5.8. sz. mell.'!F12+'5.9. sz. mell. '!F12+'5.10. sz. mell.'!F12+'5.11 sz. mell '!F12)</f>
        <v>1931</v>
      </c>
      <c r="G12" s="243"/>
    </row>
    <row r="13" spans="1:10" s="173" customFormat="1" ht="15" customHeight="1">
      <c r="A13" s="174"/>
      <c r="B13" s="175" t="s">
        <v>432</v>
      </c>
      <c r="C13" s="22" t="s">
        <v>30</v>
      </c>
      <c r="D13" s="243">
        <f>SUM('.'!D13+'..'!D13+'...'!D13+'.-'!D13+'.-.'!D13+','!D13+'5.1. sz. mell. '!D13+'5.2. sz. mell.  '!D13+'5.3 sz. mell'!D13+'5.4. sz mell'!D13+'5.5. sz. mell.  '!D13+'5.6. sz. mell'!D13+'5.7. sz. mell.'!D13+'5.8. sz. mell.'!D13+'5.9. sz. mell. '!D13+'5.10. sz. mell.'!D13+'5.11 sz. mell '!D13)</f>
        <v>907</v>
      </c>
      <c r="E13" s="243">
        <f>SUM('.'!E13+'..'!E13+'...'!E13+'.-'!E13+'.-.'!E13+','!E13+'5.1. sz. mell. '!E13+'5.2. sz. mell.  '!E13+'5.3 sz. mell'!E13+'5.4. sz mell'!E13+'5.5. sz. mell.  '!E13+'5.6. sz. mell'!E13+'5.7. sz. mell.'!E13+'5.8. sz. mell.'!E13+'5.9. sz. mell. '!E13+'5.10. sz. mell.'!E13+'5.11 sz. mell '!E13)</f>
        <v>1142</v>
      </c>
      <c r="F13" s="243">
        <f>SUM('.'!F13+'..'!F13+'...'!F13+'.-'!F13+'.-.'!F13+','!F13+'5.1. sz. mell. '!F13+'5.2. sz. mell.  '!F13+'5.3 sz. mell'!F13+'5.4. sz mell'!F13+'5.5. sz. mell.  '!F13+'5.6. sz. mell'!F13+'5.7. sz. mell.'!F13+'5.8. sz. mell.'!F13+'5.9. sz. mell. '!F13+'5.10. sz. mell.'!F13+'5.11 sz. mell '!F13)</f>
        <v>1142</v>
      </c>
      <c r="G13" s="243">
        <f t="shared" si="1"/>
        <v>100</v>
      </c>
    </row>
    <row r="14" spans="1:10" s="173" customFormat="1" ht="15" customHeight="1">
      <c r="A14" s="178"/>
      <c r="B14" s="175" t="s">
        <v>434</v>
      </c>
      <c r="C14" s="15" t="s">
        <v>32</v>
      </c>
      <c r="D14" s="243">
        <f>SUM('.'!D14+'..'!D14+'...'!D14+'.-'!D14+'.-.'!D14+','!D14+'5.1. sz. mell. '!D14+'5.2. sz. mell.  '!D14+'5.3 sz. mell'!D14+'5.4. sz mell'!D14+'5.5. sz. mell.  '!D14+'5.6. sz. mell'!D14+'5.7. sz. mell.'!D14+'5.8. sz. mell.'!D14+'5.9. sz. mell. '!D14+'5.10. sz. mell.'!D14+'5.11 sz. mell '!D14)</f>
        <v>45005</v>
      </c>
      <c r="E14" s="243">
        <f>SUM('.'!E14+'..'!E14+'...'!E14+'.-'!E14+'.-.'!E14+','!E14+'5.1. sz. mell. '!E14+'5.2. sz. mell.  '!E14+'5.3 sz. mell'!E14+'5.4. sz mell'!E14+'5.5. sz. mell.  '!E14+'5.6. sz. mell'!E14+'5.7. sz. mell.'!E14+'5.8. sz. mell.'!E14+'5.9. sz. mell. '!E14+'5.10. sz. mell.'!E14+'5.11 sz. mell '!E14)</f>
        <v>47234</v>
      </c>
      <c r="F14" s="243">
        <f>SUM('.'!F14+'..'!F14+'...'!F14+'.-'!F14+'.-.'!F14+','!F14+'5.1. sz. mell. '!F14+'5.2. sz. mell.  '!F14+'5.3 sz. mell'!F14+'5.4. sz mell'!F14+'5.5. sz. mell.  '!F14+'5.6. sz. mell'!F14+'5.7. sz. mell.'!F14+'5.8. sz. mell.'!F14+'5.9. sz. mell. '!F14+'5.10. sz. mell.'!F14+'5.11 sz. mell '!F14)</f>
        <v>47234</v>
      </c>
      <c r="G14" s="243">
        <f t="shared" si="1"/>
        <v>100</v>
      </c>
    </row>
    <row r="15" spans="1:10" s="177" customFormat="1" ht="15" customHeight="1">
      <c r="A15" s="174"/>
      <c r="B15" s="175" t="s">
        <v>437</v>
      </c>
      <c r="C15" s="15" t="s">
        <v>34</v>
      </c>
      <c r="D15" s="243">
        <f>SUM('.'!D15+'..'!D15+'...'!D15+'.-'!D15+'.-.'!D15+','!D15+'5.1. sz. mell. '!D15+'5.2. sz. mell.  '!D15+'5.3 sz. mell'!D15+'5.4. sz mell'!D15+'5.5. sz. mell.  '!D15+'5.6. sz. mell'!D15+'5.7. sz. mell.'!D15+'5.8. sz. mell.'!D15+'5.9. sz. mell. '!D15+'5.10. sz. mell.'!D15+'5.11 sz. mell '!D15)</f>
        <v>0</v>
      </c>
      <c r="E15" s="243">
        <f>SUM('.'!E15+'..'!E15+'...'!E15+'.-'!E15+'.-.'!E15+','!E15+'5.1. sz. mell. '!E15+'5.2. sz. mell.  '!E15+'5.3 sz. mell'!E15+'5.4. sz mell'!E15+'5.5. sz. mell.  '!E15+'5.6. sz. mell'!E15+'5.7. sz. mell.'!E15+'5.8. sz. mell.'!E15+'5.9. sz. mell. '!E15+'5.10. sz. mell.'!E15+'5.11 sz. mell '!E15)</f>
        <v>111</v>
      </c>
      <c r="F15" s="243">
        <f>SUM('.'!F15+'..'!F15+'...'!F15+'.-'!F15+'.-.'!F15+','!F15+'5.1. sz. mell. '!F15+'5.2. sz. mell.  '!F15+'5.3 sz. mell'!F15+'5.4. sz mell'!F15+'5.5. sz. mell.  '!F15+'5.6. sz. mell'!F15+'5.7. sz. mell.'!F15+'5.8. sz. mell.'!F15+'5.9. sz. mell. '!F15+'5.10. sz. mell.'!F15+'5.11 sz. mell '!F15)</f>
        <v>111</v>
      </c>
      <c r="G15" s="243"/>
    </row>
    <row r="16" spans="1:10" s="177" customFormat="1" ht="15" customHeight="1">
      <c r="A16" s="183"/>
      <c r="B16" s="184" t="s">
        <v>439</v>
      </c>
      <c r="C16" s="22" t="s">
        <v>36</v>
      </c>
      <c r="D16" s="249">
        <f>SUM('.'!D16+'..'!D16+'...'!D16+'.-'!D16+'.-.'!D16+','!D16+'5.1. sz. mell. '!D16+'5.2. sz. mell.  '!D16+'5.3 sz. mell'!D16+'5.4. sz mell'!D16+'5.5. sz. mell.  '!D16+'5.6. sz. mell'!D16+'5.7. sz. mell.'!D16+'5.8. sz. mell.'!D16+'5.9. sz. mell. '!D16+'5.10. sz. mell.'!D16+'5.11 sz. mell '!D16)</f>
        <v>0</v>
      </c>
      <c r="E16" s="249">
        <f>SUM('.'!E16+'..'!E16+'...'!E16+'.-'!E16+'.-.'!E16+','!E16+'5.1. sz. mell. '!E16+'5.2. sz. mell.  '!E16+'5.3 sz. mell'!E16+'5.4. sz mell'!E16+'5.5. sz. mell.  '!E16+'5.6. sz. mell'!E16+'5.7. sz. mell.'!E16+'5.8. sz. mell.'!E16+'5.9. sz. mell. '!E16+'5.10. sz. mell.'!E16+'5.11 sz. mell '!E16)</f>
        <v>21</v>
      </c>
      <c r="F16" s="249">
        <f>SUM('.'!F16+'..'!F16+'...'!F16+'.-'!F16+'.-.'!F16+','!F16+'5.1. sz. mell. '!F16+'5.2. sz. mell.  '!F16+'5.3 sz. mell'!F16+'5.4. sz mell'!F16+'5.5. sz. mell.  '!F16+'5.6. sz. mell'!F16+'5.7. sz. mell.'!F16+'5.8. sz. mell.'!F16+'5.9. sz. mell. '!F16+'5.10. sz. mell.'!F16+'5.11 sz. mell '!F16)</f>
        <v>21</v>
      </c>
      <c r="G16" s="249">
        <f t="shared" si="1"/>
        <v>100</v>
      </c>
    </row>
    <row r="17" spans="1:11" s="173" customFormat="1" ht="15" customHeight="1">
      <c r="A17" s="170" t="s">
        <v>5</v>
      </c>
      <c r="B17" s="171"/>
      <c r="C17" s="211" t="s">
        <v>1635</v>
      </c>
      <c r="D17" s="242">
        <f>SUM(D18:D23)-D21</f>
        <v>874781</v>
      </c>
      <c r="E17" s="242">
        <f>SUM(E18:E29)-E21-E27</f>
        <v>798556</v>
      </c>
      <c r="F17" s="242">
        <f>SUM(F18:F29)-F21-F27</f>
        <v>793779</v>
      </c>
      <c r="G17" s="242">
        <f t="shared" si="1"/>
        <v>99.401795240408944</v>
      </c>
      <c r="J17" s="1282">
        <f>SUM('5.1. sz. mell. '!F17+'5.2. sz. mell.  '!F17+'5.3 sz. mell'!F17+'5.4. sz mell'!F17+'5.5. sz. mell.  '!F17+'5.6. sz. mell'!F17+'5.7. sz. mell.'!F17+'5.8. sz. mell.'!F17+'5.9. sz. mell. '!F17+'5.10. sz. mell.'!F17+'5.11 sz. mell '!F17)</f>
        <v>795719</v>
      </c>
    </row>
    <row r="18" spans="1:11" s="177" customFormat="1" ht="15" customHeight="1">
      <c r="A18" s="174"/>
      <c r="B18" s="175" t="s">
        <v>6</v>
      </c>
      <c r="C18" s="27" t="s">
        <v>1636</v>
      </c>
      <c r="D18" s="245"/>
      <c r="E18" s="245"/>
      <c r="F18" s="245"/>
      <c r="G18" s="245" t="e">
        <f t="shared" si="1"/>
        <v>#DIV/0!</v>
      </c>
    </row>
    <row r="19" spans="1:11" s="177" customFormat="1" ht="15" customHeight="1">
      <c r="A19" s="174"/>
      <c r="B19" s="175" t="s">
        <v>718</v>
      </c>
      <c r="C19" s="32" t="s">
        <v>51</v>
      </c>
      <c r="D19" s="250">
        <f>SUM('5.11 sz. mell '!D18)</f>
        <v>442256</v>
      </c>
      <c r="E19" s="250">
        <f>SUM('5.11 sz. mell '!E18)</f>
        <v>420756</v>
      </c>
      <c r="F19" s="250">
        <f>SUM('5.11 sz. mell '!F18)</f>
        <v>415579</v>
      </c>
      <c r="G19" s="250">
        <f t="shared" si="1"/>
        <v>98.769595680156669</v>
      </c>
    </row>
    <row r="20" spans="1:11" s="177" customFormat="1" ht="35.25" customHeight="1">
      <c r="A20" s="174"/>
      <c r="B20" s="175" t="s">
        <v>719</v>
      </c>
      <c r="C20" s="32" t="s">
        <v>1638</v>
      </c>
      <c r="D20" s="243">
        <f>SUM('.'!D18+'..'!D18+'...'!D18+'.-'!D18+'.-.'!D18+','!D18+'5.1. sz. mell. '!D18+'5.2. sz. mell.  '!D18+'5.3 sz. mell'!D18+'5.4. sz mell'!D18+'5.5. sz. mell.  '!D18+'5.6. sz. mell'!D18+'5.7. sz. mell.'!D18+'5.8. sz. mell.'!D18+'5.9. sz. mell. '!D18+'5.10. sz. mell.'!D18)</f>
        <v>427277</v>
      </c>
      <c r="E20" s="243">
        <f>SUM('.'!E18+'..'!E18+'...'!E18+'.-'!E18+'.-.'!E18+','!E18+'5.1. sz. mell. '!E18+'5.2. sz. mell.  '!E18+'5.3 sz. mell'!E18+'5.4. sz mell'!E18+'5.5. sz. mell.  '!E18+'5.6. sz. mell'!E18+'5.7. sz. mell.'!E18+'5.8. sz. mell.'!E18+'5.9. sz. mell. '!E18+'5.10. sz. mell.'!E18)</f>
        <v>367471</v>
      </c>
      <c r="F20" s="243">
        <f>SUM('.'!F18+'..'!F18+'...'!F18+'.-'!F18+'.-.'!F18+','!F18+'5.1. sz. mell. '!F18+'5.2. sz. mell.  '!F18+'5.3 sz. mell'!F18+'5.4. sz mell'!F18+'5.5. sz. mell.  '!F18+'5.6. sz. mell'!F18+'5.7. sz. mell.'!F18+'5.8. sz. mell.'!F18+'5.9. sz. mell. '!F18+'5.10. sz. mell.'!F18)</f>
        <v>367471</v>
      </c>
      <c r="G20" s="243">
        <f t="shared" si="1"/>
        <v>100</v>
      </c>
    </row>
    <row r="21" spans="1:11" s="177" customFormat="1" ht="15" customHeight="1">
      <c r="A21" s="174"/>
      <c r="B21" s="175" t="s">
        <v>720</v>
      </c>
      <c r="C21" s="513" t="s">
        <v>805</v>
      </c>
      <c r="D21" s="243">
        <f>SUM('.'!D19+'...'!D19+'5.1. sz. mell. '!D19+'5.2. sz. mell.  '!D19)</f>
        <v>0</v>
      </c>
      <c r="E21" s="243">
        <f>SUM('.'!E19+'...'!E19+'5.1. sz. mell. '!E19+'5.2. sz. mell.  '!E19)</f>
        <v>0</v>
      </c>
      <c r="F21" s="243">
        <f>SUM('.'!F19+'...'!F19+'5.1. sz. mell. '!F19+'5.2. sz. mell.  '!F19)</f>
        <v>0</v>
      </c>
      <c r="G21" s="243" t="e">
        <f t="shared" si="1"/>
        <v>#DIV/0!</v>
      </c>
    </row>
    <row r="22" spans="1:11" s="177" customFormat="1" ht="15" customHeight="1">
      <c r="A22" s="174"/>
      <c r="B22" s="175" t="s">
        <v>806</v>
      </c>
      <c r="C22" s="15" t="s">
        <v>766</v>
      </c>
      <c r="D22" s="243"/>
      <c r="E22" s="243">
        <f>'5.7. sz. mell.'!E20</f>
        <v>0</v>
      </c>
      <c r="F22" s="243">
        <f>'5.7. sz. mell.'!F20</f>
        <v>0</v>
      </c>
      <c r="G22" s="243"/>
    </row>
    <row r="23" spans="1:11" s="177" customFormat="1" ht="15" customHeight="1">
      <c r="A23" s="174"/>
      <c r="B23" s="175" t="s">
        <v>419</v>
      </c>
      <c r="C23" s="15" t="s">
        <v>767</v>
      </c>
      <c r="D23" s="249">
        <f>SUM('5.9. sz. mell. '!D23+'5.10. sz. mell.'!D21)</f>
        <v>5248</v>
      </c>
      <c r="E23" s="249">
        <f>SUM('5.9. sz. mell. '!E23+'5.10. sz. mell.'!E21+'5.2. sz. mell.  '!E22)+'5.9. sz. mell. '!E20+'5.11 sz. mell '!E21+'5.8. sz. mell.'!E21</f>
        <v>1221</v>
      </c>
      <c r="F23" s="249">
        <f>SUM('5.9. sz. mell. '!F23+'5.10. sz. mell.'!F21+'5.2. sz. mell.  '!F22)+'5.9. sz. mell. '!F20+'5.11 sz. mell '!F21+'5.8. sz. mell.'!F21</f>
        <v>1221</v>
      </c>
      <c r="G23" s="243">
        <f t="shared" si="1"/>
        <v>100</v>
      </c>
    </row>
    <row r="24" spans="1:11" s="177" customFormat="1" ht="15" customHeight="1">
      <c r="A24" s="174"/>
      <c r="B24" s="175" t="s">
        <v>1644</v>
      </c>
      <c r="C24" s="27" t="s">
        <v>1639</v>
      </c>
      <c r="D24" s="243"/>
      <c r="E24" s="243"/>
      <c r="F24" s="243"/>
      <c r="G24" s="243" t="e">
        <f>F24/E24*100</f>
        <v>#DIV/0!</v>
      </c>
      <c r="H24" s="518"/>
      <c r="I24" s="518"/>
      <c r="J24" s="190"/>
      <c r="K24" s="190"/>
    </row>
    <row r="25" spans="1:11" s="177" customFormat="1" ht="15" customHeight="1">
      <c r="A25" s="174"/>
      <c r="B25" s="175" t="s">
        <v>1645</v>
      </c>
      <c r="C25" s="27" t="s">
        <v>1640</v>
      </c>
      <c r="D25" s="243"/>
      <c r="E25" s="243"/>
      <c r="F25" s="243"/>
      <c r="G25" s="243" t="e">
        <f t="shared" si="1"/>
        <v>#DIV/0!</v>
      </c>
      <c r="H25" s="518"/>
      <c r="I25" s="518"/>
      <c r="J25" s="190"/>
      <c r="K25" s="190"/>
    </row>
    <row r="26" spans="1:11" s="177" customFormat="1" ht="15" customHeight="1">
      <c r="A26" s="174"/>
      <c r="B26" s="175" t="s">
        <v>1646</v>
      </c>
      <c r="C26" s="27" t="s">
        <v>1641</v>
      </c>
      <c r="D26" s="243"/>
      <c r="E26" s="243"/>
      <c r="F26" s="243"/>
      <c r="G26" s="243"/>
      <c r="H26" s="518"/>
      <c r="I26" s="518"/>
      <c r="J26" s="190"/>
      <c r="K26" s="190"/>
    </row>
    <row r="27" spans="1:11" s="177" customFormat="1" ht="15" customHeight="1">
      <c r="A27" s="174"/>
      <c r="B27" s="175" t="s">
        <v>8</v>
      </c>
      <c r="C27" s="15" t="s">
        <v>1463</v>
      </c>
      <c r="D27" s="246"/>
      <c r="E27" s="246">
        <f>SUM(E28:E29)</f>
        <v>9108</v>
      </c>
      <c r="F27" s="246">
        <f>SUM(F28:F29)</f>
        <v>9508</v>
      </c>
      <c r="G27" s="243">
        <f t="shared" si="1"/>
        <v>104.3917435221783</v>
      </c>
    </row>
    <row r="28" spans="1:11" s="177" customFormat="1" ht="15" customHeight="1">
      <c r="A28" s="174"/>
      <c r="B28" s="175" t="s">
        <v>807</v>
      </c>
      <c r="C28" s="15" t="s">
        <v>1642</v>
      </c>
      <c r="D28" s="243"/>
      <c r="E28" s="243">
        <f>'5.7. sz. mell.'!E19+'5.8. sz. mell.'!E19+'5.2. sz. mell.  '!E20+'5.3 sz. mell'!E19+'5.4. sz mell'!E19+'5.5. sz. mell.  '!E19+'5.6. sz. mell'!E19+'5.10. sz. mell.'!E19</f>
        <v>9108</v>
      </c>
      <c r="F28" s="243">
        <f>'5.7. sz. mell.'!F19+'5.8. sz. mell.'!F19+'5.2. sz. mell.  '!F20+'5.3 sz. mell'!F19+'5.4. sz mell'!F19+'5.5. sz. mell.  '!F19+'5.6. sz. mell'!F19+'5.10. sz. mell.'!F19+'5.11 sz. mell '!F19</f>
        <v>9108</v>
      </c>
      <c r="G28" s="243">
        <f>F28/E28*100</f>
        <v>100</v>
      </c>
    </row>
    <row r="29" spans="1:11" s="177" customFormat="1" ht="15" customHeight="1">
      <c r="A29" s="174"/>
      <c r="B29" s="175" t="s">
        <v>1102</v>
      </c>
      <c r="C29" s="15" t="s">
        <v>1643</v>
      </c>
      <c r="D29" s="243"/>
      <c r="E29" s="243"/>
      <c r="F29" s="243">
        <f>SUM('5.11 sz. mell '!F23)</f>
        <v>400</v>
      </c>
      <c r="G29" s="243"/>
    </row>
    <row r="30" spans="1:11" s="173" customFormat="1" ht="15" customHeight="1">
      <c r="A30" s="170"/>
      <c r="B30" s="171"/>
      <c r="C30" s="172" t="s">
        <v>808</v>
      </c>
      <c r="D30" s="242">
        <f>SUM(D31)</f>
        <v>0</v>
      </c>
      <c r="E30" s="242">
        <f t="shared" ref="E30:F30" si="2">SUM(E31)</f>
        <v>2340</v>
      </c>
      <c r="F30" s="242">
        <f t="shared" si="2"/>
        <v>2420</v>
      </c>
      <c r="G30" s="242">
        <f>F30/E30*100</f>
        <v>103.41880341880344</v>
      </c>
    </row>
    <row r="31" spans="1:11" s="177" customFormat="1" ht="15" customHeight="1">
      <c r="A31" s="174"/>
      <c r="B31" s="175" t="s">
        <v>12</v>
      </c>
      <c r="C31" s="15" t="s">
        <v>433</v>
      </c>
      <c r="D31" s="249">
        <f>SUM('.'!D25+'..'!D23+'...'!D25+'.-'!D23+'.-.'!D23+','!D23+'5.1. sz. mell. '!D24+'5.2. sz. mell.  '!D24+'5.3 sz. mell'!D23+'5.4. sz mell'!D23+'5.5. sz. mell.  '!D23+'5.6. sz. mell'!D23+'5.7. sz. mell.'!D23+'5.8. sz. mell.'!D23+'5.9. sz. mell. '!D25+'5.10. sz. mell.'!D24+'5.11 sz. mell '!D24)</f>
        <v>0</v>
      </c>
      <c r="E31" s="249">
        <f>SUM('.'!E25+'..'!E23+'...'!E25+'.-'!E23+'.-.'!E23+','!E23+'5.1. sz. mell. '!E24+'5.2. sz. mell.  '!E24+'5.3 sz. mell'!E23+'5.4. sz mell'!E23+'5.5. sz. mell.  '!E23+'5.6. sz. mell'!E23+'5.7. sz. mell.'!E21+'5.8. sz. mell.'!E23+'5.9. sz. mell. '!E25+'5.10. sz. mell.'!E24+'5.11 sz. mell '!E24)</f>
        <v>2340</v>
      </c>
      <c r="F31" s="249">
        <f>SUM('.'!F25+'..'!F23+'...'!F25+'.-'!F23+'.-.'!F23+','!F23+'5.1. sz. mell. '!F24+'5.2. sz. mell.  '!F24+'5.3 sz. mell'!F23+'5.4. sz mell'!F23+'5.5. sz. mell.  '!F23+'5.6. sz. mell'!F23+'5.7. sz. mell.'!F21+'5.8. sz. mell.'!F23+'5.9. sz. mell. '!F25+'5.10. sz. mell.'!F24+'5.11 sz. mell '!F24+'5.11 sz. mell '!F22)</f>
        <v>2420</v>
      </c>
      <c r="G31" s="249">
        <f>F31/E31*100</f>
        <v>103.41880341880344</v>
      </c>
    </row>
    <row r="32" spans="1:11" s="177" customFormat="1" ht="15" customHeight="1">
      <c r="A32" s="170" t="s">
        <v>19</v>
      </c>
      <c r="B32" s="12"/>
      <c r="C32" s="12" t="s">
        <v>768</v>
      </c>
      <c r="D32" s="209"/>
      <c r="E32" s="209"/>
      <c r="F32" s="209"/>
      <c r="G32" s="209" t="e">
        <f t="shared" si="1"/>
        <v>#DIV/0!</v>
      </c>
    </row>
    <row r="33" spans="1:11" s="177" customFormat="1" ht="15" customHeight="1">
      <c r="A33" s="174"/>
      <c r="B33" s="189" t="s">
        <v>21</v>
      </c>
      <c r="C33" s="15" t="s">
        <v>70</v>
      </c>
      <c r="D33" s="243"/>
      <c r="E33" s="243"/>
      <c r="F33" s="243"/>
      <c r="G33" s="243" t="e">
        <f t="shared" si="1"/>
        <v>#DIV/0!</v>
      </c>
    </row>
    <row r="34" spans="1:11" s="177" customFormat="1" ht="15" customHeight="1">
      <c r="A34" s="174"/>
      <c r="B34" s="189" t="s">
        <v>809</v>
      </c>
      <c r="C34" s="15" t="s">
        <v>72</v>
      </c>
      <c r="D34" s="243"/>
      <c r="E34" s="243"/>
      <c r="F34" s="243"/>
      <c r="G34" s="243"/>
    </row>
    <row r="35" spans="1:11" s="177" customFormat="1" ht="15" customHeight="1">
      <c r="A35" s="174"/>
      <c r="B35" s="189" t="s">
        <v>25</v>
      </c>
      <c r="C35" s="15" t="s">
        <v>73</v>
      </c>
      <c r="D35" s="243"/>
      <c r="E35" s="243"/>
      <c r="F35" s="243"/>
      <c r="G35" s="243"/>
    </row>
    <row r="36" spans="1:11" s="173" customFormat="1" ht="15" customHeight="1">
      <c r="A36" s="170" t="s">
        <v>149</v>
      </c>
      <c r="B36" s="171"/>
      <c r="C36" s="12" t="s">
        <v>810</v>
      </c>
      <c r="D36" s="209"/>
      <c r="E36" s="209"/>
      <c r="F36" s="209"/>
      <c r="G36" s="209"/>
    </row>
    <row r="37" spans="1:11" s="173" customFormat="1" ht="15" customHeight="1">
      <c r="A37" s="170" t="s">
        <v>38</v>
      </c>
      <c r="B37" s="198"/>
      <c r="C37" s="12" t="s">
        <v>811</v>
      </c>
      <c r="D37" s="254">
        <f>+D38+D39</f>
        <v>0</v>
      </c>
      <c r="E37" s="254">
        <f t="shared" ref="E37:F37" si="3">+E38+E39</f>
        <v>33943</v>
      </c>
      <c r="F37" s="254">
        <f t="shared" si="3"/>
        <v>33943</v>
      </c>
      <c r="G37" s="254">
        <f t="shared" si="1"/>
        <v>100</v>
      </c>
    </row>
    <row r="38" spans="1:11" s="173" customFormat="1" ht="15" customHeight="1" thickBot="1">
      <c r="A38" s="181"/>
      <c r="B38" s="188" t="s">
        <v>39</v>
      </c>
      <c r="C38" s="19" t="s">
        <v>772</v>
      </c>
      <c r="D38" s="514"/>
      <c r="E38" s="514">
        <f>'5.1. sz. mell. '!E26+'5.2. sz. mell.  '!E26+'5.3 sz. mell'!E25+'5.4. sz mell'!E25+'5.5. sz. mell.  '!E25+'5.6. sz. mell'!E25+'5.7. sz. mell.'!E25+'5.8. sz. mell.'!E25+'5.9. sz. mell. '!E27+'5.10. sz. mell.'!E26+'5.11 sz. mell '!E26</f>
        <v>33943</v>
      </c>
      <c r="F38" s="514">
        <f>'5.1. sz. mell. '!F26+'5.2. sz. mell.  '!F26+'5.3 sz. mell'!F25+'5.4. sz mell'!F25+'5.5. sz. mell.  '!F25+'5.6. sz. mell'!F25+'5.7. sz. mell.'!F25+'5.8. sz. mell.'!F25+'5.9. sz. mell. '!F27+'5.10. sz. mell.'!F26+'5.11 sz. mell '!F26</f>
        <v>33943</v>
      </c>
      <c r="G38" s="514">
        <f t="shared" si="1"/>
        <v>100</v>
      </c>
    </row>
    <row r="39" spans="1:11" s="173" customFormat="1" ht="15" customHeight="1" thickBot="1">
      <c r="A39" s="191"/>
      <c r="B39" s="192" t="s">
        <v>40</v>
      </c>
      <c r="C39" s="24" t="s">
        <v>773</v>
      </c>
      <c r="D39" s="515"/>
      <c r="E39" s="514">
        <f>'5.1. sz. mell. '!E27+'5.2. sz. mell.  '!E27+'5.3 sz. mell'!E26+'5.4. sz mell'!E26+'5.5. sz. mell.  '!E26+'5.6. sz. mell'!E26+'5.7. sz. mell.'!E26+'5.8. sz. mell.'!E26+'5.9. sz. mell. '!E28+'5.10. sz. mell.'!E27+'5.11 sz. mell '!E27</f>
        <v>0</v>
      </c>
      <c r="F39" s="514">
        <f>'5.1. sz. mell. '!F27+'5.2. sz. mell.  '!F27+'5.3 sz. mell'!F26+'5.4. sz mell'!F26+'5.5. sz. mell.  '!F26+'5.6. sz. mell'!F26+'5.7. sz. mell.'!F26+'5.8. sz. mell.'!F26+'5.9. sz. mell. '!F28+'5.10. sz. mell.'!F27+'5.11 sz. mell '!F27</f>
        <v>0</v>
      </c>
      <c r="G39" s="515"/>
    </row>
    <row r="40" spans="1:11" s="177" customFormat="1" ht="15" customHeight="1" thickBot="1">
      <c r="A40" s="201" t="s">
        <v>48</v>
      </c>
      <c r="B40" s="202"/>
      <c r="C40" s="12" t="s">
        <v>812</v>
      </c>
      <c r="D40" s="466">
        <f>SUM('.'!D29+'..'!D27+'...'!D29+'.-'!D27+'.-.'!D27+','!D27+'5.1. sz. mell. '!D28+'5.2. sz. mell.  '!D28+'5.3 sz. mell'!D27+'5.4. sz mell'!D27+'5.5. sz. mell.  '!D27+'5.6. sz. mell'!D27+'5.7. sz. mell.'!D27+'5.8. sz. mell.'!D27+'5.9. sz. mell. '!D29+'5.10. sz. mell.'!D28+'5.11 sz. mell '!D28)</f>
        <v>282027</v>
      </c>
      <c r="E40" s="466">
        <f>SUM('.'!E29+'..'!E27+'...'!E29+'.-'!E27+'.-.'!E27+','!E27+'5.1. sz. mell. '!E28+'5.2. sz. mell.  '!E28+'5.3 sz. mell'!E27+'5.4. sz mell'!E27+'5.5. sz. mell.  '!E27+'5.6. sz. mell'!E27+'5.7. sz. mell.'!E27+'5.8. sz. mell.'!E27+'5.9. sz. mell. '!E29+'5.10. sz. mell.'!E28+'5.11 sz. mell '!E28)</f>
        <v>356511</v>
      </c>
      <c r="F40" s="466">
        <f>SUM('.'!F29+'..'!F27+'...'!F29+'.-'!F27+'.-.'!F27+','!F27+'5.1. sz. mell. '!F28+'5.2. sz. mell.  '!F28+'5.3 sz. mell'!F27+'5.4. sz mell'!F27+'5.5. sz. mell.  '!F27+'5.6. sz. mell'!F27+'5.7. sz. mell.'!F27+'5.8. sz. mell.'!F27+'5.9. sz. mell. '!F29+'5.10. sz. mell.'!F28+'5.11 sz. mell '!F28)</f>
        <v>356631</v>
      </c>
      <c r="G40" s="466">
        <f t="shared" si="1"/>
        <v>100.0336595504767</v>
      </c>
    </row>
    <row r="41" spans="1:11" s="177" customFormat="1" ht="15" customHeight="1" thickBot="1">
      <c r="A41" s="201"/>
      <c r="B41" s="202"/>
      <c r="C41" s="12" t="s">
        <v>813</v>
      </c>
      <c r="D41" s="209"/>
      <c r="E41" s="209"/>
      <c r="F41" s="209">
        <f>'5.1. sz. mell. '!F29+'5.2. sz. mell.  '!F29+'5.3 sz. mell'!F28+'5.4. sz mell'!F28+'5.5. sz. mell.  '!F28+'5.6. sz. mell'!F28+'5.7. sz. mell.'!F28+'5.8. sz. mell.'!F28+'5.9. sz. mell. '!F30+'5.10. sz. mell.'!F29+'5.11 sz. mell '!F30</f>
        <v>-14280</v>
      </c>
      <c r="G41" s="209"/>
      <c r="J41" s="1277" t="s">
        <v>2052</v>
      </c>
      <c r="K41" s="1277" t="s">
        <v>1811</v>
      </c>
    </row>
    <row r="42" spans="1:11" s="177" customFormat="1" ht="15" customHeight="1" thickBot="1">
      <c r="A42" s="256" t="s">
        <v>178</v>
      </c>
      <c r="B42" s="257"/>
      <c r="C42" s="467" t="s">
        <v>814</v>
      </c>
      <c r="D42" s="258">
        <f>SUM(D8,D17,D32,D36,D37,D40)</f>
        <v>1394951</v>
      </c>
      <c r="E42" s="258">
        <f>SUM(E8,E17,E32,E36,E37,E40,E30)</f>
        <v>1443888</v>
      </c>
      <c r="F42" s="258">
        <f>SUM(F8,F17,F32,F36,F37,F40,F41)+F30</f>
        <v>1425934</v>
      </c>
      <c r="G42" s="258">
        <f t="shared" si="1"/>
        <v>98.756551754706734</v>
      </c>
      <c r="J42" s="1279">
        <v>1425934</v>
      </c>
      <c r="K42" s="1280">
        <f>SUM(J42-F42)</f>
        <v>0</v>
      </c>
    </row>
    <row r="43" spans="1:11" s="177" customFormat="1" ht="9" customHeight="1" thickBot="1">
      <c r="A43" s="449"/>
      <c r="B43" s="449"/>
      <c r="C43" s="468"/>
      <c r="D43" s="261"/>
      <c r="E43" s="261"/>
      <c r="F43" s="261"/>
      <c r="G43" s="261"/>
    </row>
    <row r="44" spans="1:11" s="165" customFormat="1" ht="15" customHeight="1">
      <c r="A44" s="256"/>
      <c r="B44" s="257"/>
      <c r="C44" s="500" t="s">
        <v>197</v>
      </c>
      <c r="D44" s="258"/>
      <c r="E44" s="258"/>
      <c r="F44" s="258"/>
      <c r="G44" s="258"/>
    </row>
    <row r="45" spans="1:11" s="221" customFormat="1" ht="15" customHeight="1">
      <c r="A45" s="170" t="s">
        <v>4</v>
      </c>
      <c r="B45" s="12"/>
      <c r="C45" s="67" t="s">
        <v>101</v>
      </c>
      <c r="D45" s="111">
        <f>SUM(D46+D48+D50+D53)</f>
        <v>1394951</v>
      </c>
      <c r="E45" s="111">
        <f>SUM(E46+E48+E50+E53+E54)</f>
        <v>1423476</v>
      </c>
      <c r="F45" s="111">
        <f t="shared" ref="F45" si="4">SUM(F46+F48+F50+F53)</f>
        <v>1397323</v>
      </c>
      <c r="G45" s="111">
        <f t="shared" si="1"/>
        <v>98.162736849795849</v>
      </c>
    </row>
    <row r="46" spans="1:11" ht="15" customHeight="1">
      <c r="A46" s="193"/>
      <c r="B46" s="220" t="s">
        <v>102</v>
      </c>
      <c r="C46" s="27" t="s">
        <v>103</v>
      </c>
      <c r="D46" s="186">
        <f>SUM('.'!D35+'..'!D33+'...'!D35+'.-'!D33+'.-.'!D33+','!D33+'5.1. sz. mell. '!D34+'5.2. sz. mell.  '!D34+'5.3 sz. mell'!D33+'5.4. sz mell'!D33+'5.5. sz. mell.  '!D33+'5.6. sz. mell'!D33+'5.7. sz. mell.'!D33+'5.8. sz. mell.'!D33+'5.9. sz. mell. '!D35+'5.10. sz. mell.'!D34+'5.11 sz. mell '!D35)</f>
        <v>540807</v>
      </c>
      <c r="E46" s="186">
        <f>SUM('.'!E35+'..'!E33+'...'!E35+'.-'!E33+'.-.'!E33+','!E33+'5.1. sz. mell. '!E34+'5.2. sz. mell.  '!E34+'5.3 sz. mell'!E33+'5.4. sz mell'!E33+'5.5. sz. mell.  '!E33+'5.6. sz. mell'!E33+'5.7. sz. mell.'!E33+'5.8. sz. mell.'!E33+'5.9. sz. mell. '!E35+'5.10. sz. mell.'!E34+'5.11 sz. mell '!E35)</f>
        <v>527389</v>
      </c>
      <c r="F46" s="186">
        <f>SUM('.'!F35+'..'!F33+'...'!F35+'.-'!F33+'.-.'!F33+','!F33+'5.1. sz. mell. '!F34+'5.2. sz. mell.  '!F34+'5.3 sz. mell'!F33+'5.4. sz mell'!F33+'5.5. sz. mell.  '!F33+'5.6. sz. mell'!F33+'5.7. sz. mell.'!F33+'5.8. sz. mell.'!F33+'5.9. sz. mell. '!F35+'5.10. sz. mell.'!F34+'5.11 sz. mell '!F35)</f>
        <v>506517</v>
      </c>
      <c r="G46" s="186">
        <f t="shared" si="1"/>
        <v>96.042389962627212</v>
      </c>
    </row>
    <row r="47" spans="1:11" ht="15" customHeight="1">
      <c r="A47" s="193"/>
      <c r="B47" s="220"/>
      <c r="C47" s="513" t="s">
        <v>805</v>
      </c>
      <c r="D47" s="516">
        <f>SUM('.'!D36+'...'!D36+'5.1. sz. mell. '!D35+'5.2. sz. mell.  '!D35)</f>
        <v>0</v>
      </c>
      <c r="E47" s="516">
        <f>SUM('.'!E36+'...'!E36+'5.1. sz. mell. '!E35+'5.2. sz. mell.  '!E35)</f>
        <v>0</v>
      </c>
      <c r="F47" s="516">
        <f>SUM('.'!F36+'...'!F36+'5.1. sz. mell. '!F35+'5.2. sz. mell.  '!F35)</f>
        <v>0</v>
      </c>
      <c r="G47" s="516" t="e">
        <f t="shared" si="1"/>
        <v>#DIV/0!</v>
      </c>
    </row>
    <row r="48" spans="1:11" ht="15" customHeight="1">
      <c r="A48" s="174"/>
      <c r="B48" s="189" t="s">
        <v>104</v>
      </c>
      <c r="C48" s="15" t="s">
        <v>105</v>
      </c>
      <c r="D48" s="102">
        <f>SUM('.'!D37+'..'!D34+'...'!D37+'.-'!D34+'.-.'!D34+','!D34+'5.1. sz. mell. '!D36+'5.2. sz. mell.  '!D36+'5.3 sz. mell'!D34+'5.4. sz mell'!D34+'5.5. sz. mell.  '!D34+'5.6. sz. mell'!D34+'5.7. sz. mell.'!D34+'5.8. sz. mell.'!D34+'5.9. sz. mell. '!D36+'5.10. sz. mell.'!D35+'5.11 sz. mell '!D36)</f>
        <v>148900</v>
      </c>
      <c r="E48" s="102">
        <f>SUM('.'!E37+'..'!E34+'...'!E37+'.-'!E34+'.-.'!E34+','!E34+'5.1. sz. mell. '!E36+'5.2. sz. mell.  '!E36+'5.3 sz. mell'!E34+'5.4. sz mell'!E34+'5.5. sz. mell.  '!E34+'5.6. sz. mell'!E34+'5.7. sz. mell.'!E34+'5.8. sz. mell.'!E34+'5.9. sz. mell. '!E36+'5.10. sz. mell.'!E35+'5.11 sz. mell '!E36)</f>
        <v>130907</v>
      </c>
      <c r="F48" s="102">
        <f>SUM('.'!F37+'..'!F34+'...'!F37+'.-'!F34+'.-.'!F34+','!F34+'5.1. sz. mell. '!F36+'5.2. sz. mell.  '!F36+'5.3 sz. mell'!F34+'5.4. sz mell'!F34+'5.5. sz. mell.  '!F34+'5.6. sz. mell'!F34+'5.7. sz. mell.'!F34+'5.8. sz. mell.'!F34+'5.9. sz. mell. '!F36+'5.10. sz. mell.'!F35+'5.11 sz. mell '!F36)</f>
        <v>126232</v>
      </c>
      <c r="G48" s="102">
        <f t="shared" si="1"/>
        <v>96.428762403843947</v>
      </c>
    </row>
    <row r="49" spans="1:11" ht="15" customHeight="1">
      <c r="A49" s="174"/>
      <c r="B49" s="189"/>
      <c r="C49" s="513" t="s">
        <v>805</v>
      </c>
      <c r="D49" s="516">
        <f>SUM('.'!D38+'...'!D38+'5.1. sz. mell. '!D37+'5.2. sz. mell.  '!D37)</f>
        <v>0</v>
      </c>
      <c r="E49" s="516">
        <f>SUM('.'!E38+'...'!E38+'5.1. sz. mell. '!E37+'5.2. sz. mell.  '!E37)</f>
        <v>0</v>
      </c>
      <c r="F49" s="516">
        <f>SUM('.'!F38+'...'!F38+'5.1. sz. mell. '!F37+'5.2. sz. mell.  '!F37)</f>
        <v>0</v>
      </c>
      <c r="G49" s="516" t="e">
        <f t="shared" si="1"/>
        <v>#DIV/0!</v>
      </c>
    </row>
    <row r="50" spans="1:11" ht="15" customHeight="1">
      <c r="A50" s="174"/>
      <c r="B50" s="189" t="s">
        <v>106</v>
      </c>
      <c r="C50" s="15" t="s">
        <v>107</v>
      </c>
      <c r="D50" s="102">
        <f>SUM('.'!D39+'..'!D35+'...'!D39+'.-'!D35+'.-.'!D35+','!D35+'5.1. sz. mell. '!D38+'5.2. sz. mell.  '!D38+'5.3 sz. mell'!D35+'5.4. sz mell'!D35+'5.5. sz. mell.  '!D35+'5.6. sz. mell'!D35+'5.7. sz. mell.'!D35+'5.8. sz. mell.'!D35+'5.9. sz. mell. '!D37+'5.10. sz. mell.'!D36+'5.11 sz. mell '!D37)</f>
        <v>695258</v>
      </c>
      <c r="E50" s="102">
        <f>SUM('.'!E39+'..'!E35+'...'!E39+'.-'!E35+'.-.'!E35+','!E35+'5.1. sz. mell. '!E38+'5.2. sz. mell.  '!E38+'5.3 sz. mell'!E35+'5.4. sz mell'!E35+'5.5. sz. mell.  '!E35+'5.6. sz. mell'!E35+'5.7. sz. mell.'!E35+'5.8. sz. mell.'!E35+'5.9. sz. mell. '!E37+'5.10. sz. mell.'!E36+'5.11 sz. mell '!E37)</f>
        <v>760294</v>
      </c>
      <c r="F50" s="102">
        <f>SUM('.'!F39+'..'!F35+'...'!F39+'.-'!F35+'.-.'!F35+','!F35+'5.1. sz. mell. '!F38+'5.2. sz. mell.  '!F38+'5.3 sz. mell'!F35+'5.4. sz mell'!F35+'5.5. sz. mell.  '!F35+'5.6. sz. mell'!F35+'5.7. sz. mell.'!F35+'5.8. sz. mell.'!F35+'5.9. sz. mell. '!F37+'5.10. sz. mell.'!F36+'5.11 sz. mell '!F37)</f>
        <v>759688</v>
      </c>
      <c r="G50" s="102">
        <f t="shared" si="1"/>
        <v>99.920293991534862</v>
      </c>
    </row>
    <row r="51" spans="1:11" ht="15" customHeight="1">
      <c r="A51" s="174"/>
      <c r="B51" s="189"/>
      <c r="C51" s="513" t="s">
        <v>805</v>
      </c>
      <c r="D51" s="516">
        <f>SUM('.'!D40+'...'!D40+'5.1. sz. mell. '!D39+'5.2. sz. mell.  '!D39)</f>
        <v>0</v>
      </c>
      <c r="E51" s="516">
        <f>SUM('.'!E40+'...'!E40+'5.1. sz. mell. '!E39+'5.2. sz. mell.  '!E39)</f>
        <v>0</v>
      </c>
      <c r="F51" s="516">
        <f>SUM('.'!F40+'...'!F40+'5.1. sz. mell. '!F39+'5.2. sz. mell.  '!F39)</f>
        <v>0</v>
      </c>
      <c r="G51" s="516" t="e">
        <f t="shared" si="1"/>
        <v>#DIV/0!</v>
      </c>
    </row>
    <row r="52" spans="1:11" ht="15" customHeight="1">
      <c r="A52" s="174"/>
      <c r="B52" s="189" t="s">
        <v>108</v>
      </c>
      <c r="C52" s="15" t="s">
        <v>109</v>
      </c>
      <c r="D52" s="102"/>
      <c r="E52" s="102"/>
      <c r="F52" s="102"/>
      <c r="G52" s="102"/>
    </row>
    <row r="53" spans="1:11" ht="15" customHeight="1">
      <c r="A53" s="174"/>
      <c r="B53" s="189" t="s">
        <v>110</v>
      </c>
      <c r="C53" s="15" t="s">
        <v>111</v>
      </c>
      <c r="D53" s="102">
        <f>SUM('5.9. sz. mell. '!D39+'5.10. sz. mell.'!D38)</f>
        <v>9986</v>
      </c>
      <c r="E53" s="102">
        <f>SUM('5.9. sz. mell. '!E39+'5.10. sz. mell.'!E38)</f>
        <v>4886</v>
      </c>
      <c r="F53" s="102">
        <f>SUM('5.9. sz. mell. '!F39+'5.10. sz. mell.'!F38)</f>
        <v>4886</v>
      </c>
      <c r="G53" s="102">
        <f t="shared" si="1"/>
        <v>100</v>
      </c>
    </row>
    <row r="54" spans="1:11" ht="15" customHeight="1" thickBot="1">
      <c r="A54" s="174"/>
      <c r="B54" s="189" t="s">
        <v>276</v>
      </c>
      <c r="C54" s="15" t="s">
        <v>154</v>
      </c>
      <c r="D54" s="102">
        <f>SUM('5.9. sz. mell. '!D40+'5.10. sz. mell.'!D39)</f>
        <v>0</v>
      </c>
      <c r="E54" s="102">
        <f>'5.7. sz. mell.'!E38</f>
        <v>0</v>
      </c>
      <c r="F54" s="102">
        <f>'5.7. sz. mell.'!F38</f>
        <v>0</v>
      </c>
      <c r="G54" s="102" t="e">
        <f t="shared" ref="G54" si="5">F54/E54*100</f>
        <v>#DIV/0!</v>
      </c>
    </row>
    <row r="55" spans="1:11" ht="15" customHeight="1" thickBot="1">
      <c r="A55" s="170" t="s">
        <v>5</v>
      </c>
      <c r="B55" s="12"/>
      <c r="C55" s="67" t="s">
        <v>787</v>
      </c>
      <c r="D55" s="111">
        <f>SUM(D56:D59)</f>
        <v>0</v>
      </c>
      <c r="E55" s="111">
        <f t="shared" ref="E55:F55" si="6">SUM(E56:E59)</f>
        <v>20412</v>
      </c>
      <c r="F55" s="111">
        <f t="shared" si="6"/>
        <v>20412</v>
      </c>
      <c r="G55" s="111">
        <f t="shared" si="1"/>
        <v>100</v>
      </c>
    </row>
    <row r="56" spans="1:11" s="221" customFormat="1" ht="15" customHeight="1">
      <c r="A56" s="193"/>
      <c r="B56" s="220" t="s">
        <v>6</v>
      </c>
      <c r="C56" s="27" t="s">
        <v>780</v>
      </c>
      <c r="D56" s="97"/>
      <c r="E56" s="97">
        <f>'5.1. sz. mell. '!E43+'5.2. sz. mell.  '!E43+'5.3 sz. mell'!E39+'5.4. sz mell'!E39+'5.5. sz. mell.  '!E39+'5.6. sz. mell'!E39+'5.7. sz. mell.'!E40+'5.8. sz. mell.'!E39+'5.9. sz. mell. '!E41+'5.10. sz. mell.'!E40+'5.11 sz. mell '!E41</f>
        <v>19568</v>
      </c>
      <c r="F56" s="97">
        <f>'5.1. sz. mell. '!F43+'5.2. sz. mell.  '!F43+'5.3 sz. mell'!F39+'5.4. sz mell'!F39+'5.5. sz. mell.  '!F39+'5.6. sz. mell'!F39+'5.7. sz. mell.'!F40+'5.8. sz. mell.'!F39+'5.9. sz. mell. '!F41+'5.10. sz. mell.'!F40+'5.11 sz. mell '!F41</f>
        <v>19568</v>
      </c>
      <c r="G56" s="97">
        <f t="shared" si="1"/>
        <v>100</v>
      </c>
    </row>
    <row r="57" spans="1:11" ht="15" customHeight="1">
      <c r="A57" s="174"/>
      <c r="B57" s="189" t="s">
        <v>8</v>
      </c>
      <c r="C57" s="15" t="s">
        <v>134</v>
      </c>
      <c r="D57" s="102"/>
      <c r="E57" s="97">
        <f>'5.1. sz. mell. '!E44+'5.2. sz. mell.  '!E44+'5.3 sz. mell'!E40+'5.4. sz mell'!E40+'5.5. sz. mell.  '!E40+'5.6. sz. mell'!E40+'5.7. sz. mell.'!E41+'5.8. sz. mell.'!E40+'5.9. sz. mell. '!E42+'5.10. sz. mell.'!E41+'5.11 sz. mell '!E42</f>
        <v>844</v>
      </c>
      <c r="F57" s="97">
        <f>'5.1. sz. mell. '!F44+'5.2. sz. mell.  '!F44+'5.3 sz. mell'!F40+'5.4. sz mell'!F40+'5.5. sz. mell.  '!F40+'5.6. sz. mell'!F40+'5.7. sz. mell.'!F41+'5.8. sz. mell.'!F40+'5.9. sz. mell. '!F42+'5.10. sz. mell.'!F41+'5.11 sz. mell '!F42</f>
        <v>844</v>
      </c>
      <c r="G57" s="102">
        <f t="shared" si="1"/>
        <v>100</v>
      </c>
    </row>
    <row r="58" spans="1:11" ht="30" customHeight="1">
      <c r="A58" s="174"/>
      <c r="B58" s="189" t="s">
        <v>14</v>
      </c>
      <c r="C58" s="15" t="s">
        <v>137</v>
      </c>
      <c r="D58" s="102"/>
      <c r="E58" s="102"/>
      <c r="F58" s="102"/>
      <c r="G58" s="102"/>
    </row>
    <row r="59" spans="1:11" ht="15" customHeight="1">
      <c r="A59" s="174"/>
      <c r="B59" s="189" t="s">
        <v>18</v>
      </c>
      <c r="C59" s="15" t="s">
        <v>781</v>
      </c>
      <c r="D59" s="102"/>
      <c r="E59" s="102"/>
      <c r="F59" s="102"/>
      <c r="G59" s="102"/>
    </row>
    <row r="60" spans="1:11" ht="15" customHeight="1">
      <c r="A60" s="170" t="s">
        <v>19</v>
      </c>
      <c r="B60" s="12"/>
      <c r="C60" s="67" t="s">
        <v>782</v>
      </c>
      <c r="D60" s="226"/>
      <c r="E60" s="226"/>
      <c r="F60" s="226"/>
      <c r="G60" s="226"/>
    </row>
    <row r="61" spans="1:11" s="177" customFormat="1" ht="15" customHeight="1">
      <c r="A61" s="170"/>
      <c r="B61" s="12"/>
      <c r="C61" s="67" t="s">
        <v>783</v>
      </c>
      <c r="D61" s="209"/>
      <c r="E61" s="209"/>
      <c r="F61" s="209">
        <f>'5.1. sz. mell. '!F48+'5.2. sz. mell.  '!F48+'5.3 sz. mell'!F44+'5.4. sz mell'!F44+'5.5. sz. mell.  '!F44+'5.6. sz. mell'!F44+'5.7. sz. mell.'!F45+'5.8. sz. mell.'!F44+'5.9. sz. mell. '!F46+'5.10. sz. mell.'!F45+'5.11 sz. mell '!F46</f>
        <v>18602</v>
      </c>
      <c r="G61" s="209"/>
      <c r="J61" s="1277" t="s">
        <v>2052</v>
      </c>
      <c r="K61" s="1277" t="s">
        <v>1811</v>
      </c>
    </row>
    <row r="62" spans="1:11" ht="15" customHeight="1">
      <c r="A62" s="256" t="s">
        <v>149</v>
      </c>
      <c r="B62" s="257"/>
      <c r="C62" s="467" t="s">
        <v>784</v>
      </c>
      <c r="D62" s="258">
        <f>+D45+D55+D60</f>
        <v>1394951</v>
      </c>
      <c r="E62" s="258">
        <f>+E45+E55+E60</f>
        <v>1443888</v>
      </c>
      <c r="F62" s="258">
        <f>+F45+F55+F60+F61</f>
        <v>1436337</v>
      </c>
      <c r="G62" s="258">
        <f t="shared" si="1"/>
        <v>99.477037000099727</v>
      </c>
      <c r="J62" s="1279">
        <v>1436337</v>
      </c>
      <c r="K62" s="1280">
        <f>SUM(J62-F62)</f>
        <v>0</v>
      </c>
    </row>
    <row r="63" spans="1:11" ht="15" customHeight="1">
      <c r="A63" s="517"/>
      <c r="B63" s="449"/>
      <c r="C63" s="468" t="s">
        <v>815</v>
      </c>
      <c r="D63" s="261">
        <f>SUM(D47+D49+D51)</f>
        <v>0</v>
      </c>
      <c r="E63" s="261">
        <f t="shared" ref="E63:F63" si="7">SUM(E47+E49+E51)</f>
        <v>0</v>
      </c>
      <c r="F63" s="261">
        <f t="shared" si="7"/>
        <v>0</v>
      </c>
      <c r="G63" s="261" t="e">
        <f t="shared" si="1"/>
        <v>#DIV/0!</v>
      </c>
      <c r="H63" s="177"/>
    </row>
    <row r="64" spans="1:11" ht="15" customHeight="1">
      <c r="A64" s="232" t="s">
        <v>289</v>
      </c>
      <c r="B64" s="233"/>
      <c r="C64" s="234"/>
      <c r="D64" s="235">
        <f>SUM('.'!D52+'..'!D47+'...'!D52+'.-'!D47+'.-.'!D47+','!D47+'5.1. sz. mell. '!D51+'5.2. sz. mell.  '!D51+'5.3 sz. mell'!D47+'5.4. sz mell'!D47+'5.5. sz. mell.  '!D47+'5.6. sz. mell'!D47+'5.7. sz. mell.'!D48+'5.8. sz. mell.'!D47+'5.9. sz. mell. '!D49+'5.10. sz. mell.'!D48+'5.11 sz. mell '!D49)</f>
        <v>265.5</v>
      </c>
      <c r="E64" s="235">
        <f>SUM('.'!E52+'..'!E47+'...'!E52+'.-'!E47+'.-.'!E47+','!E47+'5.1. sz. mell. '!E51+'5.2. sz. mell.  '!E51+'5.3 sz. mell'!E47+'5.4. sz mell'!E47+'5.5. sz. mell.  '!E47+'5.6. sz. mell'!E47+'5.7. sz. mell.'!E48+'5.8. sz. mell.'!E47+'5.9. sz. mell. '!E49+'5.10. sz. mell.'!E48+'5.11 sz. mell '!E49)</f>
        <v>249.75</v>
      </c>
      <c r="F64" s="235">
        <f>SUM('.'!F52+'..'!F47+'...'!F52+'.-'!F47+'.-.'!F47+','!F47+'5.1. sz. mell. '!F51+'5.2. sz. mell.  '!F51+'5.3 sz. mell'!F47+'5.4. sz mell'!F47+'5.5. sz. mell.  '!F47+'5.6. sz. mell'!F47+'5.7. sz. mell.'!F48+'5.8. sz. mell.'!F47+'5.9. sz. mell. '!F49+'5.10. sz. mell.'!F48+'5.11 sz. mell '!F49)</f>
        <v>226.5</v>
      </c>
      <c r="G64" s="235"/>
      <c r="H64" s="177"/>
    </row>
    <row r="65" spans="1:8" ht="15" customHeight="1">
      <c r="A65" s="232" t="s">
        <v>290</v>
      </c>
      <c r="B65" s="233"/>
      <c r="C65" s="234"/>
      <c r="D65" s="273"/>
      <c r="E65" s="273"/>
      <c r="F65" s="273"/>
      <c r="G65" s="273"/>
      <c r="H65" s="177"/>
    </row>
    <row r="66" spans="1:8" ht="15" customHeight="1"/>
  </sheetData>
  <sheetProtection selectLockedCells="1" selectUnlockedCells="1"/>
  <mergeCells count="6">
    <mergeCell ref="D1:G1"/>
    <mergeCell ref="A2:B2"/>
    <mergeCell ref="A3:B3"/>
    <mergeCell ref="A5:B5"/>
    <mergeCell ref="D2:D3"/>
    <mergeCell ref="D4:G4"/>
  </mergeCells>
  <printOptions horizontalCentered="1"/>
  <pageMargins left="0.35433070866141736" right="0.19685039370078741" top="0.51181102362204722" bottom="0.39370078740157483" header="0.23622047244094491" footer="0.15748031496062992"/>
  <pageSetup paperSize="9" scale="82" firstPageNumber="80" orientation="portrait" r:id="rId1"/>
  <headerFooter alignWithMargins="0">
    <oddFooter>&amp;C-&amp;P -</oddFooter>
  </headerFooter>
  <rowBreaks count="1" manualBreakCount="1">
    <brk id="42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5" zoomScaleNormal="130" workbookViewId="0">
      <selection activeCell="K21" sqref="K21"/>
    </sheetView>
  </sheetViews>
  <sheetFormatPr defaultRowHeight="12.75"/>
  <cols>
    <col min="1" max="1" width="6.5" style="151" customWidth="1"/>
    <col min="2" max="2" width="9.6640625" style="152" customWidth="1"/>
    <col min="3" max="3" width="63.83203125" style="152" customWidth="1"/>
    <col min="4" max="4" width="13.6640625" style="152" customWidth="1"/>
    <col min="5" max="5" width="13.83203125" style="152" bestFit="1" customWidth="1"/>
    <col min="6" max="6" width="11.6640625" style="152" customWidth="1"/>
    <col min="7" max="8" width="9.5" style="152" customWidth="1"/>
    <col min="9" max="16384" width="9.33203125" style="152"/>
  </cols>
  <sheetData>
    <row r="1" spans="1:7" s="523" customFormat="1" ht="15" customHeight="1">
      <c r="A1" s="433"/>
      <c r="B1" s="434"/>
      <c r="C1" s="435"/>
      <c r="D1" s="1944" t="s">
        <v>1378</v>
      </c>
      <c r="E1" s="1944"/>
      <c r="F1" s="1944"/>
      <c r="G1" s="1944"/>
    </row>
    <row r="2" spans="1:7" s="524" customFormat="1" ht="30" customHeight="1">
      <c r="A2" s="1901" t="s">
        <v>760</v>
      </c>
      <c r="B2" s="1901"/>
      <c r="C2" s="153" t="s">
        <v>831</v>
      </c>
      <c r="D2" s="1950" t="s">
        <v>1259</v>
      </c>
      <c r="E2" s="456"/>
      <c r="F2" s="456"/>
      <c r="G2" s="456"/>
    </row>
    <row r="3" spans="1:7" s="524" customFormat="1" ht="30" customHeight="1" thickBot="1">
      <c r="A3" s="1901" t="s">
        <v>258</v>
      </c>
      <c r="B3" s="1901"/>
      <c r="C3" s="156" t="s">
        <v>832</v>
      </c>
      <c r="D3" s="1951"/>
      <c r="E3" s="437"/>
      <c r="F3" s="437"/>
      <c r="G3" s="437"/>
    </row>
    <row r="4" spans="1:7" s="524" customFormat="1" ht="15" customHeight="1" thickBot="1">
      <c r="A4" s="157"/>
      <c r="B4" s="157"/>
      <c r="C4" s="157"/>
      <c r="D4" s="1952" t="s">
        <v>1260</v>
      </c>
      <c r="E4" s="1952"/>
      <c r="F4" s="1952"/>
      <c r="G4" s="1952"/>
    </row>
    <row r="5" spans="1:7" s="177" customFormat="1" ht="39.75" customHeight="1" thickBo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7" s="525" customFormat="1" ht="15" customHeight="1">
      <c r="A6" s="160">
        <v>1</v>
      </c>
      <c r="B6" s="163">
        <v>2</v>
      </c>
      <c r="C6" s="163">
        <v>3</v>
      </c>
      <c r="D6" s="164">
        <v>4</v>
      </c>
      <c r="E6" s="164">
        <v>5</v>
      </c>
      <c r="F6" s="164">
        <v>6</v>
      </c>
      <c r="G6" s="164">
        <v>7</v>
      </c>
    </row>
    <row r="7" spans="1:7" s="525" customFormat="1" ht="15" customHeight="1">
      <c r="A7" s="256"/>
      <c r="B7" s="257"/>
      <c r="C7" s="500" t="s">
        <v>196</v>
      </c>
      <c r="D7" s="258"/>
      <c r="E7" s="258"/>
      <c r="F7" s="258"/>
      <c r="G7" s="258"/>
    </row>
    <row r="8" spans="1:7" s="173" customFormat="1" ht="15" customHeight="1">
      <c r="A8" s="170" t="s">
        <v>4</v>
      </c>
      <c r="B8" s="171"/>
      <c r="C8" s="172" t="s">
        <v>762</v>
      </c>
      <c r="D8" s="242">
        <f>SUM(D9:D16)</f>
        <v>0</v>
      </c>
      <c r="E8" s="242">
        <f t="shared" ref="E8:F8" si="0">SUM(E9:E16)</f>
        <v>0</v>
      </c>
      <c r="F8" s="242">
        <f t="shared" si="0"/>
        <v>0</v>
      </c>
      <c r="G8" s="242"/>
    </row>
    <row r="9" spans="1:7" s="173" customFormat="1" ht="15" customHeight="1">
      <c r="A9" s="181"/>
      <c r="B9" s="175" t="s">
        <v>102</v>
      </c>
      <c r="C9" s="19" t="s">
        <v>22</v>
      </c>
      <c r="D9" s="245">
        <v>0</v>
      </c>
      <c r="E9" s="245">
        <v>0</v>
      </c>
      <c r="F9" s="245">
        <v>0</v>
      </c>
      <c r="G9" s="245"/>
    </row>
    <row r="10" spans="1:7" s="173" customFormat="1" ht="15" customHeight="1">
      <c r="A10" s="174"/>
      <c r="B10" s="175" t="s">
        <v>104</v>
      </c>
      <c r="C10" s="15" t="s">
        <v>24</v>
      </c>
      <c r="D10" s="243">
        <v>0</v>
      </c>
      <c r="E10" s="243">
        <v>0</v>
      </c>
      <c r="F10" s="243">
        <v>0</v>
      </c>
      <c r="G10" s="243"/>
    </row>
    <row r="11" spans="1:7" s="173" customFormat="1" ht="15" customHeight="1">
      <c r="A11" s="174"/>
      <c r="B11" s="175" t="s">
        <v>106</v>
      </c>
      <c r="C11" s="15" t="s">
        <v>26</v>
      </c>
      <c r="D11" s="243">
        <v>0</v>
      </c>
      <c r="E11" s="243">
        <v>0</v>
      </c>
      <c r="F11" s="243">
        <v>0</v>
      </c>
      <c r="G11" s="243"/>
    </row>
    <row r="12" spans="1:7" s="173" customFormat="1" ht="15" customHeight="1">
      <c r="A12" s="174"/>
      <c r="B12" s="175" t="s">
        <v>108</v>
      </c>
      <c r="C12" s="15" t="s">
        <v>28</v>
      </c>
      <c r="D12" s="243">
        <v>0</v>
      </c>
      <c r="E12" s="243">
        <v>0</v>
      </c>
      <c r="F12" s="243">
        <v>0</v>
      </c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>
        <v>0</v>
      </c>
      <c r="E13" s="243">
        <v>0</v>
      </c>
      <c r="F13" s="243">
        <v>0</v>
      </c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4">
        <v>0</v>
      </c>
      <c r="E14" s="244">
        <v>0</v>
      </c>
      <c r="F14" s="244">
        <v>0</v>
      </c>
      <c r="G14" s="244"/>
    </row>
    <row r="15" spans="1:7" s="177" customFormat="1" ht="15" customHeight="1">
      <c r="A15" s="174"/>
      <c r="B15" s="175" t="s">
        <v>437</v>
      </c>
      <c r="C15" s="15" t="s">
        <v>34</v>
      </c>
      <c r="D15" s="243">
        <v>0</v>
      </c>
      <c r="E15" s="243">
        <v>0</v>
      </c>
      <c r="F15" s="243">
        <v>0</v>
      </c>
      <c r="G15" s="243"/>
    </row>
    <row r="16" spans="1:7" s="177" customFormat="1" ht="15" customHeight="1" thickBot="1">
      <c r="A16" s="183"/>
      <c r="B16" s="184" t="s">
        <v>439</v>
      </c>
      <c r="C16" s="22" t="s">
        <v>36</v>
      </c>
      <c r="D16" s="246">
        <v>0</v>
      </c>
      <c r="E16" s="246">
        <v>0</v>
      </c>
      <c r="F16" s="246">
        <v>0</v>
      </c>
      <c r="G16" s="246"/>
    </row>
    <row r="17" spans="1:9" s="173" customFormat="1" ht="15" customHeight="1" thickBot="1">
      <c r="A17" s="170" t="s">
        <v>5</v>
      </c>
      <c r="B17" s="171"/>
      <c r="C17" s="211" t="s">
        <v>1635</v>
      </c>
      <c r="D17" s="242">
        <f>SUM(D18:D22)-D19</f>
        <v>53245</v>
      </c>
      <c r="E17" s="242">
        <f t="shared" ref="E17:F17" si="1">SUM(E18:E22)-E19</f>
        <v>54678</v>
      </c>
      <c r="F17" s="242">
        <f t="shared" si="1"/>
        <v>54678</v>
      </c>
      <c r="G17" s="242">
        <f>F17/E17*100</f>
        <v>100</v>
      </c>
    </row>
    <row r="18" spans="1:9" s="177" customFormat="1" ht="15" customHeight="1">
      <c r="A18" s="174"/>
      <c r="B18" s="175" t="s">
        <v>6</v>
      </c>
      <c r="C18" s="27" t="s">
        <v>1636</v>
      </c>
      <c r="D18" s="243">
        <v>53245</v>
      </c>
      <c r="E18" s="243">
        <v>54678</v>
      </c>
      <c r="F18" s="243">
        <v>54678</v>
      </c>
      <c r="G18" s="243">
        <f>F18/E18*100</f>
        <v>100</v>
      </c>
    </row>
    <row r="19" spans="1:9" s="177" customFormat="1" ht="15" hidden="1" customHeight="1">
      <c r="A19" s="174"/>
      <c r="B19" s="175"/>
      <c r="C19" s="513"/>
      <c r="D19" s="243"/>
      <c r="E19" s="243"/>
      <c r="F19" s="243"/>
      <c r="G19" s="243" t="e">
        <f t="shared" ref="G19:G28" si="2">F19/E19*100</f>
        <v>#DIV/0!</v>
      </c>
    </row>
    <row r="20" spans="1:9" s="177" customFormat="1" ht="15" customHeight="1">
      <c r="A20" s="174"/>
      <c r="B20" s="175" t="s">
        <v>8</v>
      </c>
      <c r="C20" s="15" t="s">
        <v>1637</v>
      </c>
      <c r="D20" s="243">
        <v>0</v>
      </c>
      <c r="E20" s="243">
        <v>0</v>
      </c>
      <c r="F20" s="243">
        <v>0</v>
      </c>
      <c r="G20" s="243"/>
    </row>
    <row r="21" spans="1:9" s="177" customFormat="1" ht="15" customHeight="1">
      <c r="A21" s="174"/>
      <c r="B21" s="175" t="s">
        <v>10</v>
      </c>
      <c r="C21" s="15" t="s">
        <v>766</v>
      </c>
      <c r="D21" s="243">
        <v>0</v>
      </c>
      <c r="E21" s="243">
        <v>0</v>
      </c>
      <c r="F21" s="243">
        <v>0</v>
      </c>
      <c r="G21" s="243"/>
    </row>
    <row r="22" spans="1:9" s="177" customFormat="1" ht="15" customHeight="1" thickBot="1">
      <c r="A22" s="174"/>
      <c r="B22" s="175" t="s">
        <v>12</v>
      </c>
      <c r="C22" s="15" t="s">
        <v>767</v>
      </c>
      <c r="D22" s="243">
        <v>0</v>
      </c>
      <c r="E22" s="243">
        <v>0</v>
      </c>
      <c r="F22" s="243">
        <v>0</v>
      </c>
      <c r="G22" s="243"/>
    </row>
    <row r="23" spans="1:9" s="177" customFormat="1" ht="15" customHeight="1" thickBot="1">
      <c r="A23" s="170" t="s">
        <v>19</v>
      </c>
      <c r="B23" s="12"/>
      <c r="C23" s="12" t="s">
        <v>768</v>
      </c>
      <c r="D23" s="209">
        <v>0</v>
      </c>
      <c r="E23" s="209">
        <v>0</v>
      </c>
      <c r="F23" s="209">
        <v>0</v>
      </c>
      <c r="G23" s="209"/>
    </row>
    <row r="24" spans="1:9" s="173" customFormat="1" ht="15" customHeight="1" thickBot="1">
      <c r="A24" s="170" t="s">
        <v>149</v>
      </c>
      <c r="B24" s="171"/>
      <c r="C24" s="12" t="s">
        <v>810</v>
      </c>
      <c r="D24" s="209">
        <v>0</v>
      </c>
      <c r="E24" s="209">
        <v>0</v>
      </c>
      <c r="F24" s="209">
        <v>0</v>
      </c>
      <c r="G24" s="209"/>
    </row>
    <row r="25" spans="1:9" s="173" customFormat="1" ht="15" customHeight="1" thickBot="1">
      <c r="A25" s="170" t="s">
        <v>38</v>
      </c>
      <c r="B25" s="198"/>
      <c r="C25" s="12" t="s">
        <v>811</v>
      </c>
      <c r="D25" s="254">
        <f>+D26+D27</f>
        <v>0</v>
      </c>
      <c r="E25" s="254">
        <f t="shared" ref="E25:F25" si="3">+E26+E27</f>
        <v>127</v>
      </c>
      <c r="F25" s="254">
        <f t="shared" si="3"/>
        <v>127</v>
      </c>
      <c r="G25" s="254">
        <f t="shared" si="2"/>
        <v>100</v>
      </c>
    </row>
    <row r="26" spans="1:9" s="173" customFormat="1" ht="15" customHeight="1">
      <c r="A26" s="181"/>
      <c r="B26" s="188" t="s">
        <v>39</v>
      </c>
      <c r="C26" s="19" t="s">
        <v>772</v>
      </c>
      <c r="D26" s="255">
        <v>0</v>
      </c>
      <c r="E26" s="255">
        <v>127</v>
      </c>
      <c r="F26" s="255">
        <v>127</v>
      </c>
      <c r="G26" s="255">
        <f t="shared" si="2"/>
        <v>100</v>
      </c>
    </row>
    <row r="27" spans="1:9" s="173" customFormat="1" ht="15" customHeight="1" thickBot="1">
      <c r="A27" s="191"/>
      <c r="B27" s="192" t="s">
        <v>40</v>
      </c>
      <c r="C27" s="24" t="s">
        <v>773</v>
      </c>
      <c r="D27" s="249">
        <v>0</v>
      </c>
      <c r="E27" s="249">
        <v>0</v>
      </c>
      <c r="F27" s="249">
        <v>0</v>
      </c>
      <c r="G27" s="249"/>
    </row>
    <row r="28" spans="1:9" s="177" customFormat="1" ht="15" customHeight="1" thickBot="1">
      <c r="A28" s="201" t="s">
        <v>48</v>
      </c>
      <c r="B28" s="202"/>
      <c r="C28" s="12" t="s">
        <v>812</v>
      </c>
      <c r="D28" s="209">
        <v>4766</v>
      </c>
      <c r="E28" s="209">
        <v>7956</v>
      </c>
      <c r="F28" s="209">
        <v>7956</v>
      </c>
      <c r="G28" s="209">
        <f t="shared" si="2"/>
        <v>100</v>
      </c>
      <c r="I28" s="190">
        <f>SUM(D33-D30)</f>
        <v>0</v>
      </c>
    </row>
    <row r="29" spans="1:9" s="177" customFormat="1" ht="15" customHeight="1" thickBot="1">
      <c r="A29" s="201"/>
      <c r="B29" s="202"/>
      <c r="C29" s="12" t="s">
        <v>813</v>
      </c>
      <c r="D29" s="209"/>
      <c r="E29" s="209"/>
      <c r="F29" s="209"/>
      <c r="G29" s="209"/>
    </row>
    <row r="30" spans="1:9" s="177" customFormat="1" ht="15" customHeight="1" thickBot="1">
      <c r="A30" s="256" t="s">
        <v>178</v>
      </c>
      <c r="B30" s="257"/>
      <c r="C30" s="467" t="s">
        <v>814</v>
      </c>
      <c r="D30" s="258">
        <f>SUM(D8,D17,D23,D24,D25,D28)</f>
        <v>58011</v>
      </c>
      <c r="E30" s="258">
        <f t="shared" ref="E30:F30" si="4">SUM(E8,E17,E23,E24,E25,E28)</f>
        <v>62761</v>
      </c>
      <c r="F30" s="258">
        <f t="shared" si="4"/>
        <v>62761</v>
      </c>
      <c r="G30" s="258">
        <f>F30/E30*100</f>
        <v>100</v>
      </c>
      <c r="I30" s="190"/>
    </row>
    <row r="31" spans="1:9" s="177" customFormat="1" ht="15" customHeight="1" thickBot="1">
      <c r="A31" s="230"/>
      <c r="B31" s="231"/>
      <c r="C31" s="231"/>
      <c r="D31" s="503"/>
      <c r="E31" s="503"/>
      <c r="F31" s="503"/>
      <c r="G31" s="503"/>
    </row>
    <row r="32" spans="1:9" s="525" customFormat="1" ht="15" customHeight="1" thickBot="1">
      <c r="A32" s="256"/>
      <c r="B32" s="257"/>
      <c r="C32" s="500" t="s">
        <v>197</v>
      </c>
      <c r="D32" s="258"/>
      <c r="E32" s="258"/>
      <c r="F32" s="258"/>
      <c r="G32" s="258"/>
    </row>
    <row r="33" spans="1:7" s="173" customFormat="1" ht="15" customHeight="1" thickBot="1">
      <c r="A33" s="170" t="s">
        <v>4</v>
      </c>
      <c r="B33" s="12"/>
      <c r="C33" s="67" t="s">
        <v>101</v>
      </c>
      <c r="D33" s="242">
        <f>SUM(D34+D36+D38)</f>
        <v>58011</v>
      </c>
      <c r="E33" s="242">
        <f t="shared" ref="E33:F33" si="5">SUM(E34+E36+E38)</f>
        <v>62761</v>
      </c>
      <c r="F33" s="242">
        <f t="shared" si="5"/>
        <v>62761</v>
      </c>
      <c r="G33" s="242">
        <f>F33/E33*100</f>
        <v>100</v>
      </c>
    </row>
    <row r="34" spans="1:7" s="177" customFormat="1" ht="15" customHeight="1">
      <c r="A34" s="193"/>
      <c r="B34" s="220" t="s">
        <v>102</v>
      </c>
      <c r="C34" s="27" t="s">
        <v>103</v>
      </c>
      <c r="D34" s="250">
        <v>39072</v>
      </c>
      <c r="E34" s="250">
        <v>44324</v>
      </c>
      <c r="F34" s="250">
        <v>44324</v>
      </c>
      <c r="G34" s="250">
        <f>F34/E34*100</f>
        <v>100</v>
      </c>
    </row>
    <row r="35" spans="1:7" s="177" customFormat="1" ht="15" customHeight="1">
      <c r="A35" s="193"/>
      <c r="B35" s="220"/>
      <c r="C35" s="513" t="s">
        <v>805</v>
      </c>
      <c r="D35" s="519"/>
      <c r="E35" s="519"/>
      <c r="F35" s="519"/>
      <c r="G35" s="519"/>
    </row>
    <row r="36" spans="1:7" s="177" customFormat="1" ht="15" customHeight="1">
      <c r="A36" s="174"/>
      <c r="B36" s="189" t="s">
        <v>104</v>
      </c>
      <c r="C36" s="15" t="s">
        <v>105</v>
      </c>
      <c r="D36" s="243">
        <v>10526</v>
      </c>
      <c r="E36" s="243">
        <v>11032</v>
      </c>
      <c r="F36" s="243">
        <v>11032</v>
      </c>
      <c r="G36" s="243">
        <f t="shared" ref="G36:G49" si="6">F36/E36*100</f>
        <v>100</v>
      </c>
    </row>
    <row r="37" spans="1:7" s="177" customFormat="1" ht="15" customHeight="1">
      <c r="A37" s="174"/>
      <c r="B37" s="189"/>
      <c r="C37" s="513" t="s">
        <v>805</v>
      </c>
      <c r="D37" s="519"/>
      <c r="E37" s="519"/>
      <c r="F37" s="519"/>
      <c r="G37" s="519"/>
    </row>
    <row r="38" spans="1:7" s="177" customFormat="1" ht="15" customHeight="1">
      <c r="A38" s="174"/>
      <c r="B38" s="189" t="s">
        <v>106</v>
      </c>
      <c r="C38" s="15" t="s">
        <v>107</v>
      </c>
      <c r="D38" s="243">
        <v>8413</v>
      </c>
      <c r="E38" s="243">
        <v>7405</v>
      </c>
      <c r="F38" s="243">
        <v>7405</v>
      </c>
      <c r="G38" s="243">
        <f t="shared" si="6"/>
        <v>100</v>
      </c>
    </row>
    <row r="39" spans="1:7" s="177" customFormat="1" ht="15" customHeight="1">
      <c r="A39" s="174"/>
      <c r="B39" s="189"/>
      <c r="C39" s="513" t="s">
        <v>805</v>
      </c>
      <c r="D39" s="519"/>
      <c r="E39" s="519"/>
      <c r="F39" s="519"/>
      <c r="G39" s="519"/>
    </row>
    <row r="40" spans="1:7" s="177" customFormat="1" ht="15" customHeight="1">
      <c r="A40" s="174"/>
      <c r="B40" s="189" t="s">
        <v>108</v>
      </c>
      <c r="C40" s="15" t="s">
        <v>109</v>
      </c>
      <c r="D40" s="243"/>
      <c r="E40" s="243"/>
      <c r="F40" s="243"/>
      <c r="G40" s="243"/>
    </row>
    <row r="41" spans="1:7" s="177" customFormat="1" ht="15" customHeight="1" thickBot="1">
      <c r="A41" s="174"/>
      <c r="B41" s="189" t="s">
        <v>110</v>
      </c>
      <c r="C41" s="15" t="s">
        <v>111</v>
      </c>
      <c r="D41" s="243">
        <v>0</v>
      </c>
      <c r="E41" s="243">
        <v>0</v>
      </c>
      <c r="F41" s="243">
        <v>0</v>
      </c>
      <c r="G41" s="243"/>
    </row>
    <row r="42" spans="1:7" s="177" customFormat="1" ht="15" customHeight="1" thickBot="1">
      <c r="A42" s="170" t="s">
        <v>5</v>
      </c>
      <c r="B42" s="12"/>
      <c r="C42" s="67" t="s">
        <v>787</v>
      </c>
      <c r="D42" s="242">
        <f>SUM(D43:D46)</f>
        <v>0</v>
      </c>
      <c r="E42" s="242">
        <f t="shared" ref="E42:F42" si="7">SUM(E43:E46)</f>
        <v>0</v>
      </c>
      <c r="F42" s="242">
        <f t="shared" si="7"/>
        <v>0</v>
      </c>
      <c r="G42" s="242"/>
    </row>
    <row r="43" spans="1:7" s="173" customFormat="1" ht="15" customHeight="1">
      <c r="A43" s="193"/>
      <c r="B43" s="220" t="s">
        <v>6</v>
      </c>
      <c r="C43" s="27" t="s">
        <v>780</v>
      </c>
      <c r="D43" s="250">
        <v>0</v>
      </c>
      <c r="E43" s="250">
        <v>0</v>
      </c>
      <c r="F43" s="250">
        <v>0</v>
      </c>
      <c r="G43" s="250"/>
    </row>
    <row r="44" spans="1:7" s="177" customFormat="1" ht="15" customHeight="1">
      <c r="A44" s="174"/>
      <c r="B44" s="189" t="s">
        <v>8</v>
      </c>
      <c r="C44" s="15" t="s">
        <v>134</v>
      </c>
      <c r="D44" s="243">
        <v>0</v>
      </c>
      <c r="E44" s="243">
        <v>0</v>
      </c>
      <c r="F44" s="243">
        <v>0</v>
      </c>
      <c r="G44" s="243"/>
    </row>
    <row r="45" spans="1:7" s="177" customFormat="1" ht="30" customHeight="1">
      <c r="A45" s="174"/>
      <c r="B45" s="189" t="s">
        <v>14</v>
      </c>
      <c r="C45" s="15" t="s">
        <v>137</v>
      </c>
      <c r="D45" s="243">
        <v>0</v>
      </c>
      <c r="E45" s="243">
        <v>0</v>
      </c>
      <c r="F45" s="243">
        <v>0</v>
      </c>
      <c r="G45" s="243"/>
    </row>
    <row r="46" spans="1:7" s="177" customFormat="1" ht="15" customHeight="1" thickBot="1">
      <c r="A46" s="174"/>
      <c r="B46" s="189" t="s">
        <v>18</v>
      </c>
      <c r="C46" s="15" t="s">
        <v>781</v>
      </c>
      <c r="D46" s="243">
        <v>0</v>
      </c>
      <c r="E46" s="243">
        <v>0</v>
      </c>
      <c r="F46" s="243">
        <v>0</v>
      </c>
      <c r="G46" s="243"/>
    </row>
    <row r="47" spans="1:7" s="177" customFormat="1" ht="15" customHeight="1" thickBot="1">
      <c r="A47" s="170" t="s">
        <v>19</v>
      </c>
      <c r="B47" s="12"/>
      <c r="C47" s="67" t="s">
        <v>782</v>
      </c>
      <c r="D47" s="209">
        <v>0</v>
      </c>
      <c r="E47" s="209">
        <v>0</v>
      </c>
      <c r="F47" s="209">
        <v>0</v>
      </c>
      <c r="G47" s="209"/>
    </row>
    <row r="48" spans="1:7" s="177" customFormat="1" ht="15" customHeight="1" thickBot="1">
      <c r="A48" s="170"/>
      <c r="B48" s="12"/>
      <c r="C48" s="67" t="s">
        <v>783</v>
      </c>
      <c r="D48" s="209"/>
      <c r="E48" s="209"/>
      <c r="F48" s="209"/>
      <c r="G48" s="209"/>
    </row>
    <row r="49" spans="1:7" s="177" customFormat="1" ht="15" customHeight="1" thickBot="1">
      <c r="A49" s="256" t="s">
        <v>149</v>
      </c>
      <c r="B49" s="257"/>
      <c r="C49" s="467" t="s">
        <v>784</v>
      </c>
      <c r="D49" s="258">
        <f>+D33+D42+D47</f>
        <v>58011</v>
      </c>
      <c r="E49" s="258">
        <f t="shared" ref="E49:F49" si="8">+E33+E42+E47</f>
        <v>62761</v>
      </c>
      <c r="F49" s="258">
        <f t="shared" si="8"/>
        <v>62761</v>
      </c>
      <c r="G49" s="258">
        <f t="shared" si="6"/>
        <v>100</v>
      </c>
    </row>
    <row r="50" spans="1:7" s="177" customFormat="1" ht="15" customHeight="1" thickBot="1">
      <c r="A50" s="517"/>
      <c r="B50" s="449"/>
      <c r="C50" s="468" t="s">
        <v>815</v>
      </c>
      <c r="D50" s="501">
        <f>SUM(D35+D37+D39)</f>
        <v>0</v>
      </c>
      <c r="E50" s="501">
        <f t="shared" ref="E50:F50" si="9">SUM(E35+E37+E39)</f>
        <v>0</v>
      </c>
      <c r="F50" s="501">
        <f t="shared" si="9"/>
        <v>0</v>
      </c>
      <c r="G50" s="501"/>
    </row>
    <row r="51" spans="1:7" s="177" customFormat="1" ht="15" customHeight="1" thickBot="1">
      <c r="A51" s="232" t="s">
        <v>289</v>
      </c>
      <c r="B51" s="233"/>
      <c r="C51" s="234"/>
      <c r="D51" s="469">
        <v>18</v>
      </c>
      <c r="E51" s="469">
        <v>20</v>
      </c>
      <c r="F51" s="469">
        <v>18</v>
      </c>
      <c r="G51" s="469"/>
    </row>
    <row r="52" spans="1:7" s="177" customFormat="1" ht="15" customHeight="1" thickBot="1">
      <c r="A52" s="232" t="s">
        <v>290</v>
      </c>
      <c r="B52" s="233"/>
      <c r="C52" s="234"/>
      <c r="D52" s="469"/>
      <c r="E52" s="469"/>
      <c r="F52" s="469"/>
      <c r="G52" s="469"/>
    </row>
  </sheetData>
  <sheetProtection selectLockedCells="1" selectUnlockedCells="1"/>
  <mergeCells count="6">
    <mergeCell ref="D1:G1"/>
    <mergeCell ref="A2:B2"/>
    <mergeCell ref="A3:B3"/>
    <mergeCell ref="A5:B5"/>
    <mergeCell ref="D2:D3"/>
    <mergeCell ref="D4:G4"/>
  </mergeCells>
  <printOptions horizontalCentered="1"/>
  <pageMargins left="0.27559055118110237" right="0.27559055118110237" top="0.31496062992125984" bottom="0.19685039370078741" header="0.51181102362204722" footer="0.15748031496062992"/>
  <pageSetup paperSize="9" scale="85" firstPageNumber="82" orientation="portrait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Normal="130" workbookViewId="0">
      <selection activeCell="L14" sqref="L14"/>
    </sheetView>
  </sheetViews>
  <sheetFormatPr defaultRowHeight="12.75"/>
  <cols>
    <col min="1" max="1" width="6.5" style="151" customWidth="1"/>
    <col min="2" max="2" width="9.6640625" style="152" customWidth="1"/>
    <col min="3" max="3" width="66.1640625" style="152" customWidth="1"/>
    <col min="4" max="4" width="13.5" style="152" customWidth="1"/>
    <col min="5" max="5" width="13.83203125" style="152" bestFit="1" customWidth="1"/>
    <col min="6" max="6" width="12.1640625" style="152" customWidth="1"/>
    <col min="7" max="8" width="10.1640625" style="152" customWidth="1"/>
    <col min="9" max="16384" width="9.33203125" style="152"/>
  </cols>
  <sheetData>
    <row r="1" spans="1:7" s="523" customFormat="1" ht="15" customHeight="1">
      <c r="A1" s="433"/>
      <c r="B1" s="434"/>
      <c r="C1" s="435"/>
      <c r="D1" s="1944" t="s">
        <v>819</v>
      </c>
      <c r="E1" s="1944"/>
      <c r="F1" s="1944"/>
      <c r="G1" s="1944"/>
    </row>
    <row r="2" spans="1:7" s="524" customFormat="1" ht="30" customHeight="1">
      <c r="A2" s="1901" t="s">
        <v>760</v>
      </c>
      <c r="B2" s="1901"/>
      <c r="C2" s="153" t="s">
        <v>834</v>
      </c>
      <c r="D2" s="1950" t="s">
        <v>1259</v>
      </c>
      <c r="E2" s="456"/>
      <c r="F2" s="456"/>
      <c r="G2" s="456"/>
    </row>
    <row r="3" spans="1:7" s="524" customFormat="1" ht="29.25" customHeight="1">
      <c r="A3" s="1901" t="s">
        <v>258</v>
      </c>
      <c r="B3" s="1901"/>
      <c r="C3" s="156" t="s">
        <v>832</v>
      </c>
      <c r="D3" s="1951"/>
      <c r="E3" s="437"/>
      <c r="F3" s="437"/>
      <c r="G3" s="437"/>
    </row>
    <row r="4" spans="1:7" s="524" customFormat="1" ht="15" customHeight="1">
      <c r="A4" s="157"/>
      <c r="B4" s="157"/>
      <c r="C4" s="157"/>
      <c r="D4" s="1953" t="s">
        <v>1260</v>
      </c>
      <c r="E4" s="1953"/>
      <c r="F4" s="1953"/>
      <c r="G4" s="158"/>
    </row>
    <row r="5" spans="1:7" s="177" customFormat="1" ht="35.25" customHeigh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7" s="525" customFormat="1" ht="15" customHeight="1">
      <c r="A6" s="160">
        <v>1</v>
      </c>
      <c r="B6" s="163">
        <v>2</v>
      </c>
      <c r="C6" s="163">
        <v>3</v>
      </c>
      <c r="D6" s="164">
        <v>4</v>
      </c>
      <c r="E6" s="164">
        <v>5</v>
      </c>
      <c r="F6" s="164">
        <v>6</v>
      </c>
      <c r="G6" s="164">
        <v>7</v>
      </c>
    </row>
    <row r="7" spans="1:7" s="525" customFormat="1" ht="15" customHeight="1">
      <c r="A7" s="256"/>
      <c r="B7" s="257"/>
      <c r="C7" s="500" t="s">
        <v>196</v>
      </c>
      <c r="D7" s="258"/>
      <c r="E7" s="258"/>
      <c r="F7" s="258"/>
      <c r="G7" s="258"/>
    </row>
    <row r="8" spans="1:7" s="173" customFormat="1" ht="15" customHeight="1">
      <c r="A8" s="170" t="s">
        <v>4</v>
      </c>
      <c r="B8" s="171"/>
      <c r="C8" s="172" t="s">
        <v>762</v>
      </c>
      <c r="D8" s="242">
        <f>SUM(D9:D16)</f>
        <v>0</v>
      </c>
      <c r="E8" s="242">
        <f t="shared" ref="E8:F8" si="0">SUM(E9:E16)</f>
        <v>1</v>
      </c>
      <c r="F8" s="242">
        <f t="shared" si="0"/>
        <v>1</v>
      </c>
      <c r="G8" s="242"/>
    </row>
    <row r="9" spans="1:7" s="173" customFormat="1" ht="15" customHeight="1">
      <c r="A9" s="181"/>
      <c r="B9" s="175" t="s">
        <v>102</v>
      </c>
      <c r="C9" s="19" t="s">
        <v>22</v>
      </c>
      <c r="D9" s="245">
        <v>0</v>
      </c>
      <c r="E9" s="245">
        <v>0</v>
      </c>
      <c r="F9" s="245">
        <v>0</v>
      </c>
      <c r="G9" s="245"/>
    </row>
    <row r="10" spans="1:7" s="173" customFormat="1" ht="15" customHeight="1">
      <c r="A10" s="174"/>
      <c r="B10" s="175" t="s">
        <v>104</v>
      </c>
      <c r="C10" s="15" t="s">
        <v>24</v>
      </c>
      <c r="D10" s="243">
        <v>0</v>
      </c>
      <c r="E10" s="243">
        <v>0</v>
      </c>
      <c r="F10" s="243">
        <v>0</v>
      </c>
      <c r="G10" s="243"/>
    </row>
    <row r="11" spans="1:7" s="173" customFormat="1" ht="15" customHeight="1">
      <c r="A11" s="174"/>
      <c r="B11" s="175" t="s">
        <v>106</v>
      </c>
      <c r="C11" s="15" t="s">
        <v>26</v>
      </c>
      <c r="D11" s="243">
        <v>0</v>
      </c>
      <c r="E11" s="243">
        <v>0</v>
      </c>
      <c r="F11" s="243">
        <v>0</v>
      </c>
      <c r="G11" s="243"/>
    </row>
    <row r="12" spans="1:7" s="173" customFormat="1" ht="15" customHeight="1">
      <c r="A12" s="174"/>
      <c r="B12" s="175" t="s">
        <v>108</v>
      </c>
      <c r="C12" s="15" t="s">
        <v>28</v>
      </c>
      <c r="D12" s="243">
        <v>0</v>
      </c>
      <c r="E12" s="243">
        <v>0</v>
      </c>
      <c r="F12" s="243">
        <v>0</v>
      </c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>
        <v>0</v>
      </c>
      <c r="E13" s="243">
        <v>0</v>
      </c>
      <c r="F13" s="243">
        <v>0</v>
      </c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4">
        <v>0</v>
      </c>
      <c r="E14" s="244">
        <v>0</v>
      </c>
      <c r="F14" s="244">
        <v>0</v>
      </c>
      <c r="G14" s="244"/>
    </row>
    <row r="15" spans="1:7" s="177" customFormat="1" ht="15" customHeight="1">
      <c r="A15" s="174"/>
      <c r="B15" s="175" t="s">
        <v>437</v>
      </c>
      <c r="C15" s="15" t="s">
        <v>34</v>
      </c>
      <c r="D15" s="243">
        <v>0</v>
      </c>
      <c r="E15" s="243">
        <v>1</v>
      </c>
      <c r="F15" s="243">
        <v>1</v>
      </c>
      <c r="G15" s="243"/>
    </row>
    <row r="16" spans="1:7" s="177" customFormat="1" ht="15" customHeight="1">
      <c r="A16" s="183"/>
      <c r="B16" s="184" t="s">
        <v>439</v>
      </c>
      <c r="C16" s="22" t="s">
        <v>36</v>
      </c>
      <c r="D16" s="246">
        <v>0</v>
      </c>
      <c r="E16" s="246">
        <v>0</v>
      </c>
      <c r="F16" s="246">
        <v>0</v>
      </c>
      <c r="G16" s="246"/>
    </row>
    <row r="17" spans="1:9" s="173" customFormat="1" ht="15" customHeight="1">
      <c r="A17" s="170" t="s">
        <v>5</v>
      </c>
      <c r="B17" s="171"/>
      <c r="C17" s="211" t="s">
        <v>1635</v>
      </c>
      <c r="D17" s="242">
        <f>SUM(D18:D22)-D19</f>
        <v>38855</v>
      </c>
      <c r="E17" s="242">
        <f t="shared" ref="E17:F17" si="1">SUM(E18:E22)-E19</f>
        <v>42464</v>
      </c>
      <c r="F17" s="242">
        <f t="shared" si="1"/>
        <v>42464</v>
      </c>
      <c r="G17" s="242">
        <f>F17/E17*100</f>
        <v>100</v>
      </c>
    </row>
    <row r="18" spans="1:9" s="177" customFormat="1" ht="15" customHeight="1">
      <c r="A18" s="174"/>
      <c r="B18" s="175" t="s">
        <v>6</v>
      </c>
      <c r="C18" s="27" t="s">
        <v>1636</v>
      </c>
      <c r="D18" s="243">
        <v>38855</v>
      </c>
      <c r="E18" s="243">
        <v>39821</v>
      </c>
      <c r="F18" s="243">
        <v>39821</v>
      </c>
      <c r="G18" s="243"/>
    </row>
    <row r="19" spans="1:9" s="177" customFormat="1" ht="15" hidden="1" customHeight="1">
      <c r="A19" s="174"/>
      <c r="B19" s="175"/>
      <c r="C19" s="513"/>
      <c r="D19" s="243"/>
      <c r="E19" s="243"/>
      <c r="F19" s="243"/>
      <c r="G19" s="243"/>
    </row>
    <row r="20" spans="1:9" s="177" customFormat="1" ht="15" customHeight="1">
      <c r="A20" s="174"/>
      <c r="B20" s="175" t="s">
        <v>8</v>
      </c>
      <c r="C20" s="15" t="s">
        <v>1637</v>
      </c>
      <c r="D20" s="243">
        <v>0</v>
      </c>
      <c r="E20" s="243">
        <v>2613</v>
      </c>
      <c r="F20" s="243">
        <v>2613</v>
      </c>
      <c r="G20" s="243"/>
    </row>
    <row r="21" spans="1:9" s="177" customFormat="1" ht="15" customHeight="1">
      <c r="A21" s="174"/>
      <c r="B21" s="175" t="s">
        <v>10</v>
      </c>
      <c r="C21" s="15" t="s">
        <v>766</v>
      </c>
      <c r="D21" s="243">
        <v>0</v>
      </c>
      <c r="E21" s="243">
        <v>0</v>
      </c>
      <c r="F21" s="243">
        <v>0</v>
      </c>
      <c r="G21" s="243"/>
    </row>
    <row r="22" spans="1:9" s="177" customFormat="1" ht="15" customHeight="1">
      <c r="A22" s="174"/>
      <c r="B22" s="175" t="s">
        <v>12</v>
      </c>
      <c r="C22" s="15" t="s">
        <v>767</v>
      </c>
      <c r="D22" s="243">
        <v>0</v>
      </c>
      <c r="E22" s="243">
        <v>30</v>
      </c>
      <c r="F22" s="243">
        <v>30</v>
      </c>
      <c r="G22" s="243"/>
    </row>
    <row r="23" spans="1:9" s="177" customFormat="1" ht="15" customHeight="1">
      <c r="A23" s="170" t="s">
        <v>19</v>
      </c>
      <c r="B23" s="12"/>
      <c r="C23" s="12" t="s">
        <v>768</v>
      </c>
      <c r="D23" s="209">
        <v>0</v>
      </c>
      <c r="E23" s="209">
        <v>0</v>
      </c>
      <c r="F23" s="209">
        <v>0</v>
      </c>
      <c r="G23" s="209"/>
    </row>
    <row r="24" spans="1:9" s="173" customFormat="1" ht="15" customHeight="1">
      <c r="A24" s="170" t="s">
        <v>149</v>
      </c>
      <c r="B24" s="171"/>
      <c r="C24" s="12" t="s">
        <v>810</v>
      </c>
      <c r="D24" s="209">
        <v>0</v>
      </c>
      <c r="E24" s="209">
        <v>0</v>
      </c>
      <c r="F24" s="209">
        <v>0</v>
      </c>
      <c r="G24" s="209"/>
    </row>
    <row r="25" spans="1:9" s="173" customFormat="1" ht="15" customHeight="1">
      <c r="A25" s="170" t="s">
        <v>38</v>
      </c>
      <c r="B25" s="198"/>
      <c r="C25" s="12" t="s">
        <v>811</v>
      </c>
      <c r="D25" s="254">
        <v>0</v>
      </c>
      <c r="E25" s="254">
        <f>SUM(E26:E27)</f>
        <v>79</v>
      </c>
      <c r="F25" s="254">
        <f>SUM(F26:F27)</f>
        <v>79</v>
      </c>
      <c r="G25" s="254"/>
    </row>
    <row r="26" spans="1:9" s="173" customFormat="1" ht="15" customHeight="1">
      <c r="A26" s="181"/>
      <c r="B26" s="188" t="s">
        <v>39</v>
      </c>
      <c r="C26" s="19" t="s">
        <v>772</v>
      </c>
      <c r="D26" s="255">
        <v>0</v>
      </c>
      <c r="E26" s="255">
        <v>79</v>
      </c>
      <c r="F26" s="255">
        <v>79</v>
      </c>
      <c r="G26" s="255"/>
    </row>
    <row r="27" spans="1:9" s="173" customFormat="1" ht="15" customHeight="1">
      <c r="A27" s="191"/>
      <c r="B27" s="192" t="s">
        <v>40</v>
      </c>
      <c r="C27" s="24" t="s">
        <v>773</v>
      </c>
      <c r="D27" s="249">
        <v>0</v>
      </c>
      <c r="E27" s="249">
        <v>0</v>
      </c>
      <c r="F27" s="249">
        <v>0</v>
      </c>
      <c r="G27" s="249"/>
    </row>
    <row r="28" spans="1:9" s="177" customFormat="1" ht="15" customHeight="1">
      <c r="A28" s="201" t="s">
        <v>48</v>
      </c>
      <c r="B28" s="202"/>
      <c r="C28" s="12" t="s">
        <v>812</v>
      </c>
      <c r="D28" s="209">
        <v>5709</v>
      </c>
      <c r="E28" s="209">
        <v>7737</v>
      </c>
      <c r="F28" s="209">
        <v>7737</v>
      </c>
      <c r="G28" s="209"/>
      <c r="I28" s="190">
        <f>SUM(D33-D30)</f>
        <v>0</v>
      </c>
    </row>
    <row r="29" spans="1:9" s="177" customFormat="1" ht="15" customHeight="1">
      <c r="A29" s="201"/>
      <c r="B29" s="202"/>
      <c r="C29" s="12" t="s">
        <v>813</v>
      </c>
      <c r="D29" s="209"/>
      <c r="E29" s="209"/>
      <c r="F29" s="209"/>
      <c r="G29" s="209"/>
    </row>
    <row r="30" spans="1:9" s="177" customFormat="1" ht="15" customHeight="1">
      <c r="A30" s="256" t="s">
        <v>178</v>
      </c>
      <c r="B30" s="257"/>
      <c r="C30" s="467" t="s">
        <v>814</v>
      </c>
      <c r="D30" s="258">
        <f>SUM(D8,D17,D23,D24,D25,D28)</f>
        <v>44564</v>
      </c>
      <c r="E30" s="258">
        <f t="shared" ref="E30" si="2">SUM(E8,E17,E23,E24,E25,E28)</f>
        <v>50281</v>
      </c>
      <c r="F30" s="258">
        <f>SUM(F8,F17,F23,F24,F25,F28,F29)</f>
        <v>50281</v>
      </c>
      <c r="G30" s="258">
        <f>F30/E30*100</f>
        <v>100</v>
      </c>
      <c r="I30" s="190"/>
    </row>
    <row r="31" spans="1:9" s="177" customFormat="1" ht="9.75" customHeight="1">
      <c r="A31" s="230"/>
      <c r="B31" s="231"/>
      <c r="C31" s="231"/>
      <c r="D31" s="503"/>
      <c r="E31" s="503"/>
      <c r="F31" s="503"/>
      <c r="G31" s="503"/>
    </row>
    <row r="32" spans="1:9" s="525" customFormat="1" ht="15" customHeight="1">
      <c r="A32" s="256"/>
      <c r="B32" s="257"/>
      <c r="C32" s="500" t="s">
        <v>197</v>
      </c>
      <c r="D32" s="258"/>
      <c r="E32" s="258"/>
      <c r="F32" s="258"/>
      <c r="G32" s="258"/>
    </row>
    <row r="33" spans="1:7" s="173" customFormat="1" ht="15" customHeight="1">
      <c r="A33" s="170" t="s">
        <v>4</v>
      </c>
      <c r="B33" s="12"/>
      <c r="C33" s="67" t="s">
        <v>101</v>
      </c>
      <c r="D33" s="242">
        <f>SUM(D34+D36+D38)</f>
        <v>44564</v>
      </c>
      <c r="E33" s="242">
        <f t="shared" ref="E33:F33" si="3">SUM(E34+E36+E38)</f>
        <v>47668</v>
      </c>
      <c r="F33" s="242">
        <f t="shared" si="3"/>
        <v>47668</v>
      </c>
      <c r="G33" s="242">
        <f>F33/E33*100</f>
        <v>100</v>
      </c>
    </row>
    <row r="34" spans="1:7" s="177" customFormat="1" ht="15" customHeight="1">
      <c r="A34" s="193"/>
      <c r="B34" s="220" t="s">
        <v>102</v>
      </c>
      <c r="C34" s="27" t="s">
        <v>103</v>
      </c>
      <c r="D34" s="250">
        <v>29501</v>
      </c>
      <c r="E34" s="250">
        <v>32830</v>
      </c>
      <c r="F34" s="250">
        <v>32830</v>
      </c>
      <c r="G34" s="250"/>
    </row>
    <row r="35" spans="1:7" s="177" customFormat="1" ht="15" customHeight="1">
      <c r="A35" s="193"/>
      <c r="B35" s="220"/>
      <c r="C35" s="513" t="s">
        <v>805</v>
      </c>
      <c r="D35" s="519"/>
      <c r="E35" s="519"/>
      <c r="F35" s="519"/>
      <c r="G35" s="519"/>
    </row>
    <row r="36" spans="1:7" s="177" customFormat="1" ht="15" customHeight="1">
      <c r="A36" s="174"/>
      <c r="B36" s="189" t="s">
        <v>104</v>
      </c>
      <c r="C36" s="15" t="s">
        <v>105</v>
      </c>
      <c r="D36" s="243">
        <v>7928</v>
      </c>
      <c r="E36" s="243">
        <v>8088</v>
      </c>
      <c r="F36" s="243">
        <v>8088</v>
      </c>
      <c r="G36" s="243"/>
    </row>
    <row r="37" spans="1:7" s="177" customFormat="1" ht="15" customHeight="1">
      <c r="A37" s="174"/>
      <c r="B37" s="189"/>
      <c r="C37" s="513" t="s">
        <v>805</v>
      </c>
      <c r="D37" s="519"/>
      <c r="E37" s="519"/>
      <c r="F37" s="519"/>
      <c r="G37" s="519"/>
    </row>
    <row r="38" spans="1:7" s="177" customFormat="1" ht="15" customHeight="1">
      <c r="A38" s="174"/>
      <c r="B38" s="189" t="s">
        <v>106</v>
      </c>
      <c r="C38" s="15" t="s">
        <v>107</v>
      </c>
      <c r="D38" s="243">
        <v>7135</v>
      </c>
      <c r="E38" s="243">
        <v>6750</v>
      </c>
      <c r="F38" s="243">
        <v>6750</v>
      </c>
      <c r="G38" s="243"/>
    </row>
    <row r="39" spans="1:7" s="177" customFormat="1" ht="15" customHeight="1">
      <c r="A39" s="174"/>
      <c r="B39" s="189"/>
      <c r="C39" s="513" t="s">
        <v>805</v>
      </c>
      <c r="D39" s="519"/>
      <c r="E39" s="519"/>
      <c r="F39" s="519"/>
      <c r="G39" s="519"/>
    </row>
    <row r="40" spans="1:7" s="177" customFormat="1" ht="15" customHeight="1">
      <c r="A40" s="174"/>
      <c r="B40" s="189" t="s">
        <v>108</v>
      </c>
      <c r="C40" s="15" t="s">
        <v>109</v>
      </c>
      <c r="D40" s="243"/>
      <c r="E40" s="243"/>
      <c r="F40" s="243"/>
      <c r="G40" s="243"/>
    </row>
    <row r="41" spans="1:7" s="177" customFormat="1" ht="15" customHeight="1">
      <c r="A41" s="174"/>
      <c r="B41" s="189" t="s">
        <v>110</v>
      </c>
      <c r="C41" s="15" t="s">
        <v>111</v>
      </c>
      <c r="D41" s="243">
        <v>0</v>
      </c>
      <c r="E41" s="243">
        <v>0</v>
      </c>
      <c r="F41" s="243">
        <v>0</v>
      </c>
      <c r="G41" s="243"/>
    </row>
    <row r="42" spans="1:7" s="177" customFormat="1" ht="15" customHeight="1">
      <c r="A42" s="170" t="s">
        <v>5</v>
      </c>
      <c r="B42" s="12"/>
      <c r="C42" s="67" t="s">
        <v>787</v>
      </c>
      <c r="D42" s="242">
        <f>SUM(D43:D46)</f>
        <v>0</v>
      </c>
      <c r="E42" s="242">
        <f t="shared" ref="E42:F42" si="4">SUM(E43:E46)</f>
        <v>2613</v>
      </c>
      <c r="F42" s="242">
        <f t="shared" si="4"/>
        <v>2613</v>
      </c>
      <c r="G42" s="242"/>
    </row>
    <row r="43" spans="1:7" s="173" customFormat="1" ht="15" customHeight="1">
      <c r="A43" s="193"/>
      <c r="B43" s="220" t="s">
        <v>6</v>
      </c>
      <c r="C43" s="27" t="s">
        <v>780</v>
      </c>
      <c r="D43" s="250">
        <v>0</v>
      </c>
      <c r="E43" s="250">
        <v>2613</v>
      </c>
      <c r="F43" s="250">
        <v>2613</v>
      </c>
      <c r="G43" s="250"/>
    </row>
    <row r="44" spans="1:7" s="177" customFormat="1" ht="15" customHeight="1">
      <c r="A44" s="174"/>
      <c r="B44" s="189" t="s">
        <v>8</v>
      </c>
      <c r="C44" s="15" t="s">
        <v>134</v>
      </c>
      <c r="D44" s="243">
        <v>0</v>
      </c>
      <c r="E44" s="243">
        <v>0</v>
      </c>
      <c r="F44" s="243">
        <v>0</v>
      </c>
      <c r="G44" s="243"/>
    </row>
    <row r="45" spans="1:7" s="177" customFormat="1" ht="29.25" customHeight="1">
      <c r="A45" s="174"/>
      <c r="B45" s="189" t="s">
        <v>14</v>
      </c>
      <c r="C45" s="15" t="s">
        <v>137</v>
      </c>
      <c r="D45" s="243">
        <v>0</v>
      </c>
      <c r="E45" s="243">
        <v>0</v>
      </c>
      <c r="F45" s="243">
        <v>0</v>
      </c>
      <c r="G45" s="243"/>
    </row>
    <row r="46" spans="1:7" s="177" customFormat="1" ht="15" customHeight="1">
      <c r="A46" s="174"/>
      <c r="B46" s="189" t="s">
        <v>18</v>
      </c>
      <c r="C46" s="15" t="s">
        <v>781</v>
      </c>
      <c r="D46" s="243">
        <v>0</v>
      </c>
      <c r="E46" s="243">
        <v>0</v>
      </c>
      <c r="F46" s="243">
        <v>0</v>
      </c>
      <c r="G46" s="243"/>
    </row>
    <row r="47" spans="1:7" s="177" customFormat="1" ht="15" customHeight="1">
      <c r="A47" s="170" t="s">
        <v>19</v>
      </c>
      <c r="B47" s="12"/>
      <c r="C47" s="67" t="s">
        <v>782</v>
      </c>
      <c r="D47" s="209">
        <v>0</v>
      </c>
      <c r="E47" s="209">
        <v>0</v>
      </c>
      <c r="F47" s="209">
        <v>0</v>
      </c>
      <c r="G47" s="209"/>
    </row>
    <row r="48" spans="1:7" s="177" customFormat="1" ht="15" customHeight="1">
      <c r="A48" s="170"/>
      <c r="B48" s="12"/>
      <c r="C48" s="67" t="s">
        <v>783</v>
      </c>
      <c r="D48" s="209"/>
      <c r="E48" s="209"/>
      <c r="F48" s="209"/>
      <c r="G48" s="209"/>
    </row>
    <row r="49" spans="1:7" s="177" customFormat="1" ht="15" customHeight="1">
      <c r="A49" s="256" t="s">
        <v>149</v>
      </c>
      <c r="B49" s="257"/>
      <c r="C49" s="467" t="s">
        <v>784</v>
      </c>
      <c r="D49" s="258">
        <f>+D33+D42+D47</f>
        <v>44564</v>
      </c>
      <c r="E49" s="258">
        <f t="shared" ref="E49" si="5">+E33+E42+E47</f>
        <v>50281</v>
      </c>
      <c r="F49" s="258">
        <f>+F33+F42+F47+F48</f>
        <v>50281</v>
      </c>
      <c r="G49" s="258">
        <f>F49/E49*100</f>
        <v>100</v>
      </c>
    </row>
    <row r="50" spans="1:7" s="177" customFormat="1" ht="15" customHeight="1">
      <c r="A50" s="517"/>
      <c r="B50" s="449"/>
      <c r="C50" s="468" t="s">
        <v>815</v>
      </c>
      <c r="D50" s="501">
        <f>SUM(D35+D37+D39)</f>
        <v>0</v>
      </c>
      <c r="E50" s="501">
        <f t="shared" ref="E50:F50" si="6">SUM(E35+E37+E39)</f>
        <v>0</v>
      </c>
      <c r="F50" s="501">
        <f t="shared" si="6"/>
        <v>0</v>
      </c>
      <c r="G50" s="501" t="e">
        <f>F50/E50*100</f>
        <v>#DIV/0!</v>
      </c>
    </row>
    <row r="51" spans="1:7" s="177" customFormat="1" ht="15" customHeight="1">
      <c r="A51" s="232" t="s">
        <v>289</v>
      </c>
      <c r="B51" s="233"/>
      <c r="C51" s="234"/>
      <c r="D51" s="469">
        <v>15</v>
      </c>
      <c r="E51" s="235">
        <v>16.25</v>
      </c>
      <c r="F51" s="469">
        <v>15</v>
      </c>
      <c r="G51" s="469"/>
    </row>
    <row r="52" spans="1:7" s="177" customFormat="1" ht="15" customHeight="1">
      <c r="A52" s="232" t="s">
        <v>290</v>
      </c>
      <c r="B52" s="233"/>
      <c r="C52" s="234"/>
      <c r="D52" s="469"/>
      <c r="E52" s="469"/>
      <c r="F52" s="469"/>
      <c r="G52" s="469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19685039370078741" right="0.39370078740157483" top="0.23622047244094491" bottom="0.39370078740157483" header="0.51181102362204722" footer="0.15748031496062992"/>
  <pageSetup paperSize="9" scale="82" firstPageNumber="83" orientation="portrait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30" workbookViewId="0">
      <selection activeCell="E25" sqref="E1:H1048576"/>
    </sheetView>
  </sheetViews>
  <sheetFormatPr defaultRowHeight="12.75"/>
  <cols>
    <col min="1" max="1" width="6.5" style="151" customWidth="1"/>
    <col min="2" max="2" width="9.6640625" style="152" customWidth="1"/>
    <col min="3" max="3" width="63.33203125" style="152" customWidth="1"/>
    <col min="4" max="4" width="13.5" style="152" customWidth="1"/>
    <col min="5" max="5" width="15" style="152" customWidth="1"/>
    <col min="6" max="6" width="12.1640625" style="152" customWidth="1"/>
    <col min="7" max="9" width="10.33203125" style="152" customWidth="1"/>
    <col min="10" max="16384" width="9.33203125" style="152"/>
  </cols>
  <sheetData>
    <row r="1" spans="1:7" s="523" customFormat="1" ht="15" customHeight="1">
      <c r="A1" s="433"/>
      <c r="B1" s="434"/>
      <c r="C1" s="435"/>
      <c r="D1" s="1944" t="s">
        <v>1379</v>
      </c>
      <c r="E1" s="1944"/>
      <c r="F1" s="1944"/>
      <c r="G1" s="1944"/>
    </row>
    <row r="2" spans="1:7" s="524" customFormat="1" ht="30" customHeight="1">
      <c r="A2" s="1901" t="s">
        <v>760</v>
      </c>
      <c r="B2" s="1901"/>
      <c r="C2" s="153" t="s">
        <v>835</v>
      </c>
      <c r="D2" s="1950" t="s">
        <v>1259</v>
      </c>
      <c r="E2" s="456"/>
      <c r="F2" s="456"/>
      <c r="G2" s="456"/>
    </row>
    <row r="3" spans="1:7" s="524" customFormat="1" ht="30" customHeight="1" thickBot="1">
      <c r="A3" s="1901" t="s">
        <v>258</v>
      </c>
      <c r="B3" s="1901"/>
      <c r="C3" s="156" t="s">
        <v>832</v>
      </c>
      <c r="D3" s="1951"/>
      <c r="E3" s="437"/>
      <c r="F3" s="437"/>
      <c r="G3" s="437"/>
    </row>
    <row r="4" spans="1:7" s="524" customFormat="1" ht="15" customHeight="1" thickBot="1">
      <c r="A4" s="157"/>
      <c r="B4" s="157"/>
      <c r="C4" s="157"/>
      <c r="D4" s="1908" t="s">
        <v>194</v>
      </c>
      <c r="E4" s="1908"/>
      <c r="F4" s="1908"/>
      <c r="G4" s="1908"/>
    </row>
    <row r="5" spans="1:7" s="177" customFormat="1" ht="34.5" customHeight="1" thickBo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7" s="525" customFormat="1" ht="15" customHeight="1">
      <c r="A6" s="160">
        <v>1</v>
      </c>
      <c r="B6" s="163">
        <v>2</v>
      </c>
      <c r="C6" s="163">
        <v>3</v>
      </c>
      <c r="D6" s="164">
        <v>4</v>
      </c>
      <c r="E6" s="164">
        <v>5</v>
      </c>
      <c r="F6" s="164">
        <v>6</v>
      </c>
      <c r="G6" s="164">
        <v>7</v>
      </c>
    </row>
    <row r="7" spans="1:7" s="525" customFormat="1" ht="15" customHeight="1">
      <c r="A7" s="256"/>
      <c r="B7" s="257"/>
      <c r="C7" s="500" t="s">
        <v>196</v>
      </c>
      <c r="D7" s="258"/>
      <c r="E7" s="258"/>
      <c r="F7" s="258"/>
      <c r="G7" s="258"/>
    </row>
    <row r="8" spans="1:7" s="173" customFormat="1" ht="15" customHeight="1">
      <c r="A8" s="170" t="s">
        <v>4</v>
      </c>
      <c r="B8" s="171"/>
      <c r="C8" s="172" t="s">
        <v>762</v>
      </c>
      <c r="D8" s="242">
        <f>SUM(D9:D16)</f>
        <v>0</v>
      </c>
      <c r="E8" s="242">
        <f t="shared" ref="E8:F8" si="0">SUM(E9:E16)</f>
        <v>1</v>
      </c>
      <c r="F8" s="242">
        <f t="shared" si="0"/>
        <v>1</v>
      </c>
      <c r="G8" s="242"/>
    </row>
    <row r="9" spans="1:7" s="173" customFormat="1" ht="15" customHeight="1">
      <c r="A9" s="181"/>
      <c r="B9" s="175" t="s">
        <v>102</v>
      </c>
      <c r="C9" s="19" t="s">
        <v>22</v>
      </c>
      <c r="D9" s="245">
        <v>0</v>
      </c>
      <c r="E9" s="245">
        <v>0</v>
      </c>
      <c r="F9" s="245">
        <v>0</v>
      </c>
      <c r="G9" s="245"/>
    </row>
    <row r="10" spans="1:7" s="173" customFormat="1" ht="15" customHeight="1">
      <c r="A10" s="174"/>
      <c r="B10" s="175" t="s">
        <v>104</v>
      </c>
      <c r="C10" s="15" t="s">
        <v>24</v>
      </c>
      <c r="D10" s="243">
        <v>0</v>
      </c>
      <c r="E10" s="243">
        <v>0</v>
      </c>
      <c r="F10" s="243">
        <v>0</v>
      </c>
      <c r="G10" s="243"/>
    </row>
    <row r="11" spans="1:7" s="173" customFormat="1" ht="15" customHeight="1">
      <c r="A11" s="174"/>
      <c r="B11" s="175" t="s">
        <v>106</v>
      </c>
      <c r="C11" s="15" t="s">
        <v>26</v>
      </c>
      <c r="D11" s="243">
        <v>0</v>
      </c>
      <c r="E11" s="243">
        <v>0</v>
      </c>
      <c r="F11" s="243">
        <v>0</v>
      </c>
      <c r="G11" s="243"/>
    </row>
    <row r="12" spans="1:7" s="173" customFormat="1" ht="15" customHeight="1">
      <c r="A12" s="174"/>
      <c r="B12" s="175" t="s">
        <v>108</v>
      </c>
      <c r="C12" s="15" t="s">
        <v>28</v>
      </c>
      <c r="D12" s="243">
        <v>0</v>
      </c>
      <c r="E12" s="243">
        <v>0</v>
      </c>
      <c r="F12" s="243">
        <v>0</v>
      </c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>
        <v>0</v>
      </c>
      <c r="E13" s="243">
        <v>0</v>
      </c>
      <c r="F13" s="243">
        <v>0</v>
      </c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4">
        <v>0</v>
      </c>
      <c r="E14" s="244">
        <v>0</v>
      </c>
      <c r="F14" s="244">
        <v>0</v>
      </c>
      <c r="G14" s="244"/>
    </row>
    <row r="15" spans="1:7" s="177" customFormat="1" ht="15" customHeight="1">
      <c r="A15" s="174"/>
      <c r="B15" s="175" t="s">
        <v>437</v>
      </c>
      <c r="C15" s="15" t="s">
        <v>34</v>
      </c>
      <c r="D15" s="243">
        <v>0</v>
      </c>
      <c r="E15" s="243">
        <v>1</v>
      </c>
      <c r="F15" s="243">
        <v>1</v>
      </c>
      <c r="G15" s="243"/>
    </row>
    <row r="16" spans="1:7" s="177" customFormat="1" ht="15" customHeight="1">
      <c r="A16" s="183"/>
      <c r="B16" s="184" t="s">
        <v>439</v>
      </c>
      <c r="C16" s="22" t="s">
        <v>36</v>
      </c>
      <c r="D16" s="246">
        <v>0</v>
      </c>
      <c r="E16" s="246">
        <v>0</v>
      </c>
      <c r="F16" s="246">
        <v>0</v>
      </c>
      <c r="G16" s="246"/>
    </row>
    <row r="17" spans="1:9" s="173" customFormat="1" ht="15" customHeight="1">
      <c r="A17" s="170" t="s">
        <v>5</v>
      </c>
      <c r="B17" s="171"/>
      <c r="C17" s="211" t="s">
        <v>1635</v>
      </c>
      <c r="D17" s="242">
        <f>SUM(D18:D21)</f>
        <v>68967</v>
      </c>
      <c r="E17" s="242">
        <f t="shared" ref="E17:F17" si="1">SUM(E18:E21)</f>
        <v>71588</v>
      </c>
      <c r="F17" s="242">
        <f t="shared" si="1"/>
        <v>71588</v>
      </c>
      <c r="G17" s="242">
        <f>F17/E17*100</f>
        <v>100</v>
      </c>
    </row>
    <row r="18" spans="1:9" s="177" customFormat="1" ht="15" customHeight="1">
      <c r="A18" s="174"/>
      <c r="B18" s="175" t="s">
        <v>6</v>
      </c>
      <c r="C18" s="27" t="s">
        <v>1636</v>
      </c>
      <c r="D18" s="243">
        <v>68967</v>
      </c>
      <c r="E18" s="243">
        <v>71105</v>
      </c>
      <c r="F18" s="243">
        <v>71105</v>
      </c>
      <c r="G18" s="243"/>
    </row>
    <row r="19" spans="1:9" s="177" customFormat="1" ht="15" customHeight="1">
      <c r="A19" s="174"/>
      <c r="B19" s="175" t="s">
        <v>8</v>
      </c>
      <c r="C19" s="15" t="s">
        <v>1637</v>
      </c>
      <c r="D19" s="243">
        <v>0</v>
      </c>
      <c r="E19" s="243">
        <v>483</v>
      </c>
      <c r="F19" s="243">
        <v>483</v>
      </c>
      <c r="G19" s="243"/>
    </row>
    <row r="20" spans="1:9" s="177" customFormat="1" ht="15" customHeight="1">
      <c r="A20" s="174"/>
      <c r="B20" s="175" t="s">
        <v>10</v>
      </c>
      <c r="C20" s="15" t="s">
        <v>766</v>
      </c>
      <c r="D20" s="243">
        <v>0</v>
      </c>
      <c r="E20" s="243">
        <v>0</v>
      </c>
      <c r="F20" s="243">
        <v>0</v>
      </c>
      <c r="G20" s="243"/>
    </row>
    <row r="21" spans="1:9" s="177" customFormat="1" ht="15" customHeight="1">
      <c r="A21" s="174"/>
      <c r="B21" s="175" t="s">
        <v>12</v>
      </c>
      <c r="C21" s="15" t="s">
        <v>767</v>
      </c>
      <c r="D21" s="243">
        <v>0</v>
      </c>
      <c r="E21" s="243">
        <v>0</v>
      </c>
      <c r="F21" s="243">
        <v>0</v>
      </c>
      <c r="G21" s="243"/>
    </row>
    <row r="22" spans="1:9" s="177" customFormat="1" ht="15" customHeight="1">
      <c r="A22" s="170" t="s">
        <v>19</v>
      </c>
      <c r="B22" s="12"/>
      <c r="C22" s="12" t="s">
        <v>768</v>
      </c>
      <c r="D22" s="209">
        <v>0</v>
      </c>
      <c r="E22" s="209">
        <v>0</v>
      </c>
      <c r="F22" s="209">
        <v>0</v>
      </c>
      <c r="G22" s="209"/>
    </row>
    <row r="23" spans="1:9" s="173" customFormat="1" ht="15" customHeight="1">
      <c r="A23" s="170" t="s">
        <v>149</v>
      </c>
      <c r="B23" s="171"/>
      <c r="C23" s="12" t="s">
        <v>810</v>
      </c>
      <c r="D23" s="209">
        <v>0</v>
      </c>
      <c r="E23" s="209">
        <v>0</v>
      </c>
      <c r="F23" s="209">
        <v>0</v>
      </c>
      <c r="G23" s="209"/>
    </row>
    <row r="24" spans="1:9" s="173" customFormat="1" ht="15" customHeight="1">
      <c r="A24" s="170" t="s">
        <v>38</v>
      </c>
      <c r="B24" s="198"/>
      <c r="C24" s="12" t="s">
        <v>811</v>
      </c>
      <c r="D24" s="254">
        <f>+D25+D26</f>
        <v>0</v>
      </c>
      <c r="E24" s="254">
        <f t="shared" ref="E24:F24" si="2">+E25+E26</f>
        <v>161</v>
      </c>
      <c r="F24" s="254">
        <f t="shared" si="2"/>
        <v>161</v>
      </c>
      <c r="G24" s="254"/>
    </row>
    <row r="25" spans="1:9" s="173" customFormat="1" ht="15" customHeight="1">
      <c r="A25" s="181"/>
      <c r="B25" s="188" t="s">
        <v>39</v>
      </c>
      <c r="C25" s="19" t="s">
        <v>772</v>
      </c>
      <c r="D25" s="255">
        <v>0</v>
      </c>
      <c r="E25" s="255">
        <v>161</v>
      </c>
      <c r="F25" s="255">
        <v>161</v>
      </c>
      <c r="G25" s="255"/>
    </row>
    <row r="26" spans="1:9" s="173" customFormat="1" ht="15" customHeight="1">
      <c r="A26" s="191"/>
      <c r="B26" s="192" t="s">
        <v>40</v>
      </c>
      <c r="C26" s="24" t="s">
        <v>773</v>
      </c>
      <c r="D26" s="249">
        <v>0</v>
      </c>
      <c r="E26" s="249">
        <v>0</v>
      </c>
      <c r="F26" s="249">
        <v>0</v>
      </c>
      <c r="G26" s="249"/>
    </row>
    <row r="27" spans="1:9" s="177" customFormat="1" ht="15" customHeight="1">
      <c r="A27" s="201" t="s">
        <v>48</v>
      </c>
      <c r="B27" s="202"/>
      <c r="C27" s="12" t="s">
        <v>812</v>
      </c>
      <c r="D27" s="209">
        <v>2651</v>
      </c>
      <c r="E27" s="209">
        <v>3147</v>
      </c>
      <c r="F27" s="209">
        <v>3147</v>
      </c>
      <c r="G27" s="209"/>
    </row>
    <row r="28" spans="1:9" s="177" customFormat="1" ht="15" customHeight="1">
      <c r="A28" s="201"/>
      <c r="B28" s="202"/>
      <c r="C28" s="12" t="s">
        <v>813</v>
      </c>
      <c r="D28" s="209"/>
      <c r="E28" s="209"/>
      <c r="F28" s="209"/>
      <c r="G28" s="209"/>
    </row>
    <row r="29" spans="1:9" s="177" customFormat="1" ht="15" customHeight="1">
      <c r="A29" s="256" t="s">
        <v>178</v>
      </c>
      <c r="B29" s="257"/>
      <c r="C29" s="467" t="s">
        <v>814</v>
      </c>
      <c r="D29" s="258">
        <f>SUM(D8,D17,D22,D23,D24,D27)</f>
        <v>71618</v>
      </c>
      <c r="E29" s="258">
        <f t="shared" ref="E29" si="3">SUM(E8,E17,E22,E23,E24,E27)</f>
        <v>74897</v>
      </c>
      <c r="F29" s="258">
        <f>SUM(F8,F17,F22,F23,F24,F27,F28)</f>
        <v>74897</v>
      </c>
      <c r="G29" s="258">
        <f>F29/E29*100</f>
        <v>100</v>
      </c>
      <c r="I29" s="523">
        <f>SUM(D45-D29)</f>
        <v>0</v>
      </c>
    </row>
    <row r="30" spans="1:9" s="177" customFormat="1" ht="15" customHeight="1">
      <c r="A30" s="449"/>
      <c r="B30" s="449"/>
      <c r="C30" s="468"/>
      <c r="D30" s="501"/>
      <c r="E30" s="501"/>
      <c r="F30" s="501"/>
      <c r="G30" s="501"/>
    </row>
    <row r="31" spans="1:9" s="525" customFormat="1" ht="15" customHeight="1">
      <c r="A31" s="256"/>
      <c r="B31" s="257"/>
      <c r="C31" s="500" t="s">
        <v>197</v>
      </c>
      <c r="D31" s="258"/>
      <c r="E31" s="258"/>
      <c r="F31" s="258"/>
      <c r="G31" s="258"/>
    </row>
    <row r="32" spans="1:9" s="173" customFormat="1" ht="15" customHeight="1">
      <c r="A32" s="170" t="s">
        <v>4</v>
      </c>
      <c r="B32" s="12"/>
      <c r="C32" s="67" t="s">
        <v>101</v>
      </c>
      <c r="D32" s="242">
        <f>SUM(D33:D37)</f>
        <v>71618</v>
      </c>
      <c r="E32" s="242">
        <f t="shared" ref="E32:F32" si="4">SUM(E33:E37)</f>
        <v>74414</v>
      </c>
      <c r="F32" s="242">
        <f t="shared" si="4"/>
        <v>74414</v>
      </c>
      <c r="G32" s="242">
        <f>F32/E32*100</f>
        <v>100</v>
      </c>
    </row>
    <row r="33" spans="1:7" s="177" customFormat="1" ht="15" customHeight="1">
      <c r="A33" s="193"/>
      <c r="B33" s="220" t="s">
        <v>102</v>
      </c>
      <c r="C33" s="27" t="s">
        <v>103</v>
      </c>
      <c r="D33" s="250">
        <v>48655</v>
      </c>
      <c r="E33" s="250">
        <v>52113</v>
      </c>
      <c r="F33" s="250">
        <v>52113</v>
      </c>
      <c r="G33" s="250"/>
    </row>
    <row r="34" spans="1:7" s="177" customFormat="1" ht="15" customHeight="1">
      <c r="A34" s="174"/>
      <c r="B34" s="189" t="s">
        <v>104</v>
      </c>
      <c r="C34" s="15" t="s">
        <v>105</v>
      </c>
      <c r="D34" s="243">
        <v>13095</v>
      </c>
      <c r="E34" s="243">
        <v>13195</v>
      </c>
      <c r="F34" s="243">
        <v>13195</v>
      </c>
      <c r="G34" s="243"/>
    </row>
    <row r="35" spans="1:7" s="177" customFormat="1" ht="15" customHeight="1">
      <c r="A35" s="174"/>
      <c r="B35" s="189" t="s">
        <v>106</v>
      </c>
      <c r="C35" s="15" t="s">
        <v>107</v>
      </c>
      <c r="D35" s="243">
        <v>9868</v>
      </c>
      <c r="E35" s="243">
        <v>9106</v>
      </c>
      <c r="F35" s="243">
        <v>9106</v>
      </c>
      <c r="G35" s="243"/>
    </row>
    <row r="36" spans="1:7" s="177" customFormat="1" ht="15" customHeight="1">
      <c r="A36" s="174"/>
      <c r="B36" s="189" t="s">
        <v>108</v>
      </c>
      <c r="C36" s="15" t="s">
        <v>109</v>
      </c>
      <c r="D36" s="243"/>
      <c r="E36" s="243"/>
      <c r="F36" s="243"/>
      <c r="G36" s="243"/>
    </row>
    <row r="37" spans="1:7" s="177" customFormat="1" ht="15" customHeight="1">
      <c r="A37" s="174"/>
      <c r="B37" s="189" t="s">
        <v>110</v>
      </c>
      <c r="C37" s="15" t="s">
        <v>111</v>
      </c>
      <c r="D37" s="243"/>
      <c r="E37" s="243"/>
      <c r="F37" s="243"/>
      <c r="G37" s="243"/>
    </row>
    <row r="38" spans="1:7" s="177" customFormat="1" ht="15" customHeight="1">
      <c r="A38" s="170" t="s">
        <v>5</v>
      </c>
      <c r="B38" s="12"/>
      <c r="C38" s="67" t="s">
        <v>787</v>
      </c>
      <c r="D38" s="242"/>
      <c r="E38" s="242">
        <f>SUM(E39:E42)</f>
        <v>483</v>
      </c>
      <c r="F38" s="242">
        <f>SUM(F39:F42)</f>
        <v>483</v>
      </c>
      <c r="G38" s="242"/>
    </row>
    <row r="39" spans="1:7" s="173" customFormat="1" ht="15" customHeight="1">
      <c r="A39" s="193"/>
      <c r="B39" s="220" t="s">
        <v>6</v>
      </c>
      <c r="C39" s="27" t="s">
        <v>780</v>
      </c>
      <c r="D39" s="250"/>
      <c r="E39" s="250">
        <v>483</v>
      </c>
      <c r="F39" s="250">
        <v>483</v>
      </c>
      <c r="G39" s="250"/>
    </row>
    <row r="40" spans="1:7" s="177" customFormat="1" ht="15" customHeight="1">
      <c r="A40" s="174"/>
      <c r="B40" s="189" t="s">
        <v>8</v>
      </c>
      <c r="C40" s="15" t="s">
        <v>134</v>
      </c>
      <c r="D40" s="243">
        <v>0</v>
      </c>
      <c r="E40" s="243">
        <v>0</v>
      </c>
      <c r="F40" s="243">
        <v>0</v>
      </c>
      <c r="G40" s="243"/>
    </row>
    <row r="41" spans="1:7" s="177" customFormat="1" ht="29.25" customHeight="1">
      <c r="A41" s="174"/>
      <c r="B41" s="189" t="s">
        <v>14</v>
      </c>
      <c r="C41" s="15" t="s">
        <v>137</v>
      </c>
      <c r="D41" s="243">
        <v>0</v>
      </c>
      <c r="E41" s="243">
        <v>0</v>
      </c>
      <c r="F41" s="243">
        <v>0</v>
      </c>
      <c r="G41" s="243"/>
    </row>
    <row r="42" spans="1:7" s="177" customFormat="1" ht="15" customHeight="1">
      <c r="A42" s="174"/>
      <c r="B42" s="189" t="s">
        <v>18</v>
      </c>
      <c r="C42" s="15" t="s">
        <v>781</v>
      </c>
      <c r="D42" s="243">
        <v>0</v>
      </c>
      <c r="E42" s="243">
        <v>0</v>
      </c>
      <c r="F42" s="243">
        <v>0</v>
      </c>
      <c r="G42" s="243"/>
    </row>
    <row r="43" spans="1:7" s="177" customFormat="1" ht="15" customHeight="1">
      <c r="A43" s="170" t="s">
        <v>19</v>
      </c>
      <c r="B43" s="12"/>
      <c r="C43" s="67" t="s">
        <v>782</v>
      </c>
      <c r="D43" s="209">
        <v>0</v>
      </c>
      <c r="E43" s="209">
        <v>0</v>
      </c>
      <c r="F43" s="209">
        <v>0</v>
      </c>
      <c r="G43" s="209"/>
    </row>
    <row r="44" spans="1:7" s="177" customFormat="1" ht="15" customHeight="1">
      <c r="A44" s="170"/>
      <c r="B44" s="12"/>
      <c r="C44" s="67" t="s">
        <v>783</v>
      </c>
      <c r="D44" s="209"/>
      <c r="E44" s="209"/>
      <c r="F44" s="209"/>
      <c r="G44" s="209"/>
    </row>
    <row r="45" spans="1:7" s="177" customFormat="1" ht="15" customHeight="1">
      <c r="A45" s="256" t="s">
        <v>149</v>
      </c>
      <c r="B45" s="257"/>
      <c r="C45" s="467" t="s">
        <v>784</v>
      </c>
      <c r="D45" s="258">
        <f>+D32+D38+D43</f>
        <v>71618</v>
      </c>
      <c r="E45" s="258">
        <f>+E32+E38+E43</f>
        <v>74897</v>
      </c>
      <c r="F45" s="258">
        <f>+F32+F38+F43+F44</f>
        <v>74897</v>
      </c>
      <c r="G45" s="258">
        <f>F45/E45*100</f>
        <v>100</v>
      </c>
    </row>
    <row r="46" spans="1:7" s="177" customFormat="1" ht="15" customHeight="1">
      <c r="A46" s="230"/>
      <c r="B46" s="231"/>
      <c r="C46" s="231"/>
      <c r="D46" s="231"/>
      <c r="E46" s="231"/>
      <c r="F46" s="231"/>
      <c r="G46" s="231"/>
    </row>
    <row r="47" spans="1:7" s="177" customFormat="1" ht="15" customHeight="1">
      <c r="A47" s="232" t="s">
        <v>289</v>
      </c>
      <c r="B47" s="233"/>
      <c r="C47" s="234"/>
      <c r="D47" s="235">
        <v>24</v>
      </c>
      <c r="E47" s="235">
        <v>27</v>
      </c>
      <c r="F47" s="235">
        <v>25</v>
      </c>
      <c r="G47" s="235"/>
    </row>
    <row r="48" spans="1:7" s="177" customFormat="1" ht="15" customHeight="1">
      <c r="A48" s="232" t="s">
        <v>290</v>
      </c>
      <c r="B48" s="233"/>
      <c r="C48" s="234"/>
      <c r="D48" s="469"/>
      <c r="E48" s="469"/>
      <c r="F48" s="469"/>
      <c r="G48" s="469"/>
    </row>
  </sheetData>
  <sheetProtection selectLockedCells="1" selectUnlockedCells="1"/>
  <mergeCells count="6">
    <mergeCell ref="D1:G1"/>
    <mergeCell ref="A2:B2"/>
    <mergeCell ref="A3:B3"/>
    <mergeCell ref="A5:B5"/>
    <mergeCell ref="D2:D3"/>
    <mergeCell ref="D4:G4"/>
  </mergeCells>
  <printOptions horizontalCentered="1"/>
  <pageMargins left="0.47244094488188981" right="0.39370078740157483" top="0.43307086614173229" bottom="0.39370078740157483" header="0.23622047244094491" footer="0.15748031496062992"/>
  <pageSetup paperSize="9" scale="80" firstPageNumber="84" orientation="portrait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30" workbookViewId="0">
      <selection activeCell="E22" sqref="E1:H1048576"/>
    </sheetView>
  </sheetViews>
  <sheetFormatPr defaultRowHeight="12.75"/>
  <cols>
    <col min="1" max="1" width="6.5" style="151" customWidth="1"/>
    <col min="2" max="2" width="9.6640625" style="152" customWidth="1"/>
    <col min="3" max="3" width="64" style="152" customWidth="1"/>
    <col min="4" max="4" width="13.5" style="152" customWidth="1"/>
    <col min="5" max="6" width="13.6640625" style="152" customWidth="1"/>
    <col min="7" max="7" width="9.6640625" style="152" customWidth="1"/>
    <col min="8" max="16384" width="9.33203125" style="152"/>
  </cols>
  <sheetData>
    <row r="1" spans="1:7" s="523" customFormat="1" ht="15" customHeight="1">
      <c r="A1" s="433"/>
      <c r="B1" s="434"/>
      <c r="C1" s="435"/>
      <c r="D1" s="1944" t="s">
        <v>824</v>
      </c>
      <c r="E1" s="1944"/>
      <c r="F1" s="1944"/>
      <c r="G1" s="1944"/>
    </row>
    <row r="2" spans="1:7" s="524" customFormat="1" ht="30" customHeight="1">
      <c r="A2" s="1901" t="s">
        <v>760</v>
      </c>
      <c r="B2" s="1901"/>
      <c r="C2" s="153" t="s">
        <v>837</v>
      </c>
      <c r="D2" s="1950" t="s">
        <v>1259</v>
      </c>
      <c r="E2" s="456"/>
      <c r="F2" s="456"/>
      <c r="G2" s="456"/>
    </row>
    <row r="3" spans="1:7" s="524" customFormat="1" ht="30" customHeight="1" thickBot="1">
      <c r="A3" s="1901" t="s">
        <v>258</v>
      </c>
      <c r="B3" s="1901"/>
      <c r="C3" s="156" t="s">
        <v>832</v>
      </c>
      <c r="D3" s="1951"/>
      <c r="E3" s="437"/>
      <c r="F3" s="437"/>
      <c r="G3" s="437"/>
    </row>
    <row r="4" spans="1:7" s="524" customFormat="1" ht="15" customHeight="1" thickBot="1">
      <c r="A4" s="157"/>
      <c r="B4" s="157"/>
      <c r="C4" s="157"/>
      <c r="D4" s="1908" t="s">
        <v>194</v>
      </c>
      <c r="E4" s="1908"/>
      <c r="F4" s="1908"/>
      <c r="G4" s="1908"/>
    </row>
    <row r="5" spans="1:7" s="177" customFormat="1" ht="41.25" customHeight="1" thickBo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7" s="525" customFormat="1" ht="15" customHeight="1">
      <c r="A6" s="160">
        <v>1</v>
      </c>
      <c r="B6" s="163">
        <v>2</v>
      </c>
      <c r="C6" s="163">
        <v>3</v>
      </c>
      <c r="D6" s="164">
        <v>4</v>
      </c>
      <c r="E6" s="164">
        <v>5</v>
      </c>
      <c r="F6" s="164">
        <v>6</v>
      </c>
      <c r="G6" s="164">
        <v>7</v>
      </c>
    </row>
    <row r="7" spans="1:7" s="525" customFormat="1" ht="15" customHeight="1">
      <c r="A7" s="256"/>
      <c r="B7" s="257"/>
      <c r="C7" s="500" t="s">
        <v>196</v>
      </c>
      <c r="D7" s="258"/>
      <c r="E7" s="258"/>
      <c r="F7" s="258"/>
      <c r="G7" s="258"/>
    </row>
    <row r="8" spans="1:7" s="173" customFormat="1" ht="15" customHeight="1">
      <c r="A8" s="170" t="s">
        <v>4</v>
      </c>
      <c r="B8" s="171"/>
      <c r="C8" s="172" t="s">
        <v>762</v>
      </c>
      <c r="D8" s="242">
        <f>SUM(D9:D16)</f>
        <v>0</v>
      </c>
      <c r="E8" s="242">
        <f t="shared" ref="E8:F8" si="0">SUM(E9:E16)</f>
        <v>27</v>
      </c>
      <c r="F8" s="242">
        <f t="shared" si="0"/>
        <v>27</v>
      </c>
      <c r="G8" s="242"/>
    </row>
    <row r="9" spans="1:7" s="173" customFormat="1" ht="15" customHeight="1">
      <c r="A9" s="181"/>
      <c r="B9" s="175" t="s">
        <v>102</v>
      </c>
      <c r="C9" s="19" t="s">
        <v>22</v>
      </c>
      <c r="D9" s="245">
        <v>0</v>
      </c>
      <c r="E9" s="245">
        <v>0</v>
      </c>
      <c r="F9" s="245">
        <v>0</v>
      </c>
      <c r="G9" s="245"/>
    </row>
    <row r="10" spans="1:7" s="173" customFormat="1" ht="15" customHeight="1">
      <c r="A10" s="174"/>
      <c r="B10" s="175" t="s">
        <v>104</v>
      </c>
      <c r="C10" s="15" t="s">
        <v>24</v>
      </c>
      <c r="D10" s="243">
        <v>0</v>
      </c>
      <c r="E10" s="243">
        <v>0</v>
      </c>
      <c r="F10" s="243">
        <v>0</v>
      </c>
      <c r="G10" s="243"/>
    </row>
    <row r="11" spans="1:7" s="173" customFormat="1" ht="15" customHeight="1">
      <c r="A11" s="174"/>
      <c r="B11" s="175" t="s">
        <v>106</v>
      </c>
      <c r="C11" s="15" t="s">
        <v>26</v>
      </c>
      <c r="D11" s="243">
        <v>0</v>
      </c>
      <c r="E11" s="243">
        <v>0</v>
      </c>
      <c r="F11" s="243">
        <v>0</v>
      </c>
      <c r="G11" s="243"/>
    </row>
    <row r="12" spans="1:7" s="173" customFormat="1" ht="15" customHeight="1">
      <c r="A12" s="174"/>
      <c r="B12" s="175" t="s">
        <v>108</v>
      </c>
      <c r="C12" s="15" t="s">
        <v>28</v>
      </c>
      <c r="D12" s="243">
        <v>0</v>
      </c>
      <c r="E12" s="243">
        <v>0</v>
      </c>
      <c r="F12" s="243">
        <v>0</v>
      </c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>
        <v>0</v>
      </c>
      <c r="E13" s="243">
        <v>0</v>
      </c>
      <c r="F13" s="243">
        <v>0</v>
      </c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4">
        <v>0</v>
      </c>
      <c r="E14" s="244">
        <v>6</v>
      </c>
      <c r="F14" s="244">
        <v>6</v>
      </c>
      <c r="G14" s="244"/>
    </row>
    <row r="15" spans="1:7" s="177" customFormat="1" ht="15" customHeight="1">
      <c r="A15" s="174"/>
      <c r="B15" s="175" t="s">
        <v>437</v>
      </c>
      <c r="C15" s="15" t="s">
        <v>34</v>
      </c>
      <c r="D15" s="243">
        <v>0</v>
      </c>
      <c r="E15" s="243">
        <v>0</v>
      </c>
      <c r="F15" s="243">
        <v>0</v>
      </c>
      <c r="G15" s="243"/>
    </row>
    <row r="16" spans="1:7" s="177" customFormat="1" ht="15" customHeight="1">
      <c r="A16" s="183"/>
      <c r="B16" s="184" t="s">
        <v>439</v>
      </c>
      <c r="C16" s="22" t="s">
        <v>36</v>
      </c>
      <c r="D16" s="246">
        <v>0</v>
      </c>
      <c r="E16" s="246">
        <v>21</v>
      </c>
      <c r="F16" s="246">
        <v>21</v>
      </c>
      <c r="G16" s="246"/>
    </row>
    <row r="17" spans="1:9" s="173" customFormat="1" ht="15" customHeight="1">
      <c r="A17" s="170" t="s">
        <v>5</v>
      </c>
      <c r="B17" s="171"/>
      <c r="C17" s="211" t="s">
        <v>1635</v>
      </c>
      <c r="D17" s="242">
        <f>SUM(D18:D21)</f>
        <v>88468</v>
      </c>
      <c r="E17" s="242">
        <f t="shared" ref="E17:F17" si="1">SUM(E18:E21)</f>
        <v>91582</v>
      </c>
      <c r="F17" s="242">
        <f t="shared" si="1"/>
        <v>91582</v>
      </c>
      <c r="G17" s="242">
        <f>F17/E17*100</f>
        <v>100</v>
      </c>
    </row>
    <row r="18" spans="1:9" s="177" customFormat="1" ht="15" customHeight="1">
      <c r="A18" s="174"/>
      <c r="B18" s="175" t="s">
        <v>6</v>
      </c>
      <c r="C18" s="27" t="s">
        <v>1636</v>
      </c>
      <c r="D18" s="243">
        <v>88468</v>
      </c>
      <c r="E18" s="243">
        <v>91322</v>
      </c>
      <c r="F18" s="243">
        <v>91322</v>
      </c>
      <c r="G18" s="243">
        <f>F18/E18*100</f>
        <v>100</v>
      </c>
    </row>
    <row r="19" spans="1:9" s="177" customFormat="1" ht="15" customHeight="1">
      <c r="A19" s="174"/>
      <c r="B19" s="175" t="s">
        <v>8</v>
      </c>
      <c r="C19" s="15" t="s">
        <v>1637</v>
      </c>
      <c r="D19" s="243">
        <v>0</v>
      </c>
      <c r="E19" s="243">
        <v>260</v>
      </c>
      <c r="F19" s="243">
        <v>260</v>
      </c>
      <c r="G19" s="243"/>
    </row>
    <row r="20" spans="1:9" s="177" customFormat="1" ht="15" customHeight="1">
      <c r="A20" s="174"/>
      <c r="B20" s="175" t="s">
        <v>10</v>
      </c>
      <c r="C20" s="15" t="s">
        <v>766</v>
      </c>
      <c r="D20" s="243">
        <v>0</v>
      </c>
      <c r="E20" s="243">
        <v>0</v>
      </c>
      <c r="F20" s="243">
        <v>0</v>
      </c>
      <c r="G20" s="243"/>
    </row>
    <row r="21" spans="1:9" s="177" customFormat="1" ht="15" customHeight="1">
      <c r="A21" s="174"/>
      <c r="B21" s="175" t="s">
        <v>12</v>
      </c>
      <c r="C21" s="15" t="s">
        <v>767</v>
      </c>
      <c r="D21" s="243">
        <v>0</v>
      </c>
      <c r="E21" s="243">
        <v>0</v>
      </c>
      <c r="F21" s="243">
        <v>0</v>
      </c>
      <c r="G21" s="243"/>
    </row>
    <row r="22" spans="1:9" s="177" customFormat="1" ht="15" customHeight="1">
      <c r="A22" s="170" t="s">
        <v>19</v>
      </c>
      <c r="B22" s="12"/>
      <c r="C22" s="12" t="s">
        <v>768</v>
      </c>
      <c r="D22" s="209">
        <v>0</v>
      </c>
      <c r="E22" s="209">
        <v>0</v>
      </c>
      <c r="F22" s="209">
        <v>0</v>
      </c>
      <c r="G22" s="209"/>
    </row>
    <row r="23" spans="1:9" s="173" customFormat="1" ht="15" customHeight="1">
      <c r="A23" s="170" t="s">
        <v>149</v>
      </c>
      <c r="B23" s="171"/>
      <c r="C23" s="12" t="s">
        <v>810</v>
      </c>
      <c r="D23" s="209">
        <v>0</v>
      </c>
      <c r="E23" s="209">
        <v>0</v>
      </c>
      <c r="F23" s="209">
        <v>0</v>
      </c>
      <c r="G23" s="209"/>
    </row>
    <row r="24" spans="1:9" s="173" customFormat="1" ht="15" customHeight="1">
      <c r="A24" s="170" t="s">
        <v>38</v>
      </c>
      <c r="B24" s="198"/>
      <c r="C24" s="12" t="s">
        <v>811</v>
      </c>
      <c r="D24" s="254">
        <f>+D25+D26</f>
        <v>0</v>
      </c>
      <c r="E24" s="254">
        <f t="shared" ref="E24:F24" si="2">+E25+E26</f>
        <v>120</v>
      </c>
      <c r="F24" s="254">
        <f t="shared" si="2"/>
        <v>120</v>
      </c>
      <c r="G24" s="254"/>
    </row>
    <row r="25" spans="1:9" s="173" customFormat="1" ht="15" customHeight="1">
      <c r="A25" s="181"/>
      <c r="B25" s="188" t="s">
        <v>39</v>
      </c>
      <c r="C25" s="19" t="s">
        <v>772</v>
      </c>
      <c r="D25" s="255">
        <v>0</v>
      </c>
      <c r="E25" s="255">
        <v>120</v>
      </c>
      <c r="F25" s="255">
        <v>120</v>
      </c>
      <c r="G25" s="255"/>
    </row>
    <row r="26" spans="1:9" s="173" customFormat="1" ht="15" customHeight="1">
      <c r="A26" s="191"/>
      <c r="B26" s="192" t="s">
        <v>40</v>
      </c>
      <c r="C26" s="24" t="s">
        <v>773</v>
      </c>
      <c r="D26" s="249">
        <v>0</v>
      </c>
      <c r="E26" s="249">
        <v>0</v>
      </c>
      <c r="F26" s="249">
        <v>0</v>
      </c>
      <c r="G26" s="249"/>
    </row>
    <row r="27" spans="1:9" s="177" customFormat="1" ht="15" customHeight="1">
      <c r="A27" s="201" t="s">
        <v>48</v>
      </c>
      <c r="B27" s="202"/>
      <c r="C27" s="12" t="s">
        <v>812</v>
      </c>
      <c r="D27" s="209">
        <v>3980</v>
      </c>
      <c r="E27" s="209">
        <v>8420</v>
      </c>
      <c r="F27" s="209">
        <v>8420</v>
      </c>
      <c r="G27" s="209">
        <f>F27/E27*100</f>
        <v>100</v>
      </c>
    </row>
    <row r="28" spans="1:9" s="177" customFormat="1" ht="15" customHeight="1">
      <c r="A28" s="201"/>
      <c r="B28" s="202"/>
      <c r="C28" s="12" t="s">
        <v>813</v>
      </c>
      <c r="D28" s="209"/>
      <c r="E28" s="209"/>
      <c r="F28" s="209"/>
      <c r="G28" s="209"/>
    </row>
    <row r="29" spans="1:9" s="177" customFormat="1" ht="15" customHeight="1">
      <c r="A29" s="256" t="s">
        <v>178</v>
      </c>
      <c r="B29" s="257"/>
      <c r="C29" s="467" t="s">
        <v>814</v>
      </c>
      <c r="D29" s="258">
        <f>SUM(D8,D17,D22,D23,D24,D27)</f>
        <v>92448</v>
      </c>
      <c r="E29" s="258">
        <f t="shared" ref="E29:F29" si="3">SUM(E8,E17,E22,E23,E24,E27)</f>
        <v>100149</v>
      </c>
      <c r="F29" s="258">
        <f t="shared" si="3"/>
        <v>100149</v>
      </c>
      <c r="G29" s="258">
        <f>F29/E29*100</f>
        <v>100</v>
      </c>
      <c r="I29" s="523">
        <f>SUM(D45-D29)</f>
        <v>0</v>
      </c>
    </row>
    <row r="30" spans="1:9" s="177" customFormat="1" ht="15" customHeight="1">
      <c r="A30" s="449"/>
      <c r="B30" s="449"/>
      <c r="C30" s="468"/>
      <c r="D30" s="501"/>
      <c r="E30" s="501"/>
      <c r="F30" s="501"/>
      <c r="G30" s="501"/>
    </row>
    <row r="31" spans="1:9" s="525" customFormat="1" ht="15" customHeight="1">
      <c r="A31" s="256"/>
      <c r="B31" s="257"/>
      <c r="C31" s="500" t="s">
        <v>197</v>
      </c>
      <c r="D31" s="258"/>
      <c r="E31" s="258"/>
      <c r="F31" s="258"/>
      <c r="G31" s="258"/>
    </row>
    <row r="32" spans="1:9" s="173" customFormat="1" ht="15" customHeight="1">
      <c r="A32" s="170" t="s">
        <v>4</v>
      </c>
      <c r="B32" s="12"/>
      <c r="C32" s="67" t="s">
        <v>101</v>
      </c>
      <c r="D32" s="242">
        <f>SUM(D33:D37)</f>
        <v>92448</v>
      </c>
      <c r="E32" s="242">
        <f t="shared" ref="E32:F32" si="4">SUM(E33:E37)</f>
        <v>99889</v>
      </c>
      <c r="F32" s="242">
        <f t="shared" si="4"/>
        <v>99889</v>
      </c>
      <c r="G32" s="242">
        <f>F32/E32*100</f>
        <v>100</v>
      </c>
    </row>
    <row r="33" spans="1:7" s="177" customFormat="1" ht="15" customHeight="1">
      <c r="A33" s="193"/>
      <c r="B33" s="220" t="s">
        <v>102</v>
      </c>
      <c r="C33" s="27" t="s">
        <v>103</v>
      </c>
      <c r="D33" s="250">
        <v>63435</v>
      </c>
      <c r="E33" s="250">
        <v>71239</v>
      </c>
      <c r="F33" s="250">
        <v>71239</v>
      </c>
      <c r="G33" s="250">
        <f>F33/E33*100</f>
        <v>100</v>
      </c>
    </row>
    <row r="34" spans="1:7" s="177" customFormat="1" ht="15" customHeight="1">
      <c r="A34" s="174"/>
      <c r="B34" s="189" t="s">
        <v>104</v>
      </c>
      <c r="C34" s="15" t="s">
        <v>105</v>
      </c>
      <c r="D34" s="243">
        <v>16960</v>
      </c>
      <c r="E34" s="243">
        <v>17653</v>
      </c>
      <c r="F34" s="243">
        <v>17653</v>
      </c>
      <c r="G34" s="243">
        <f>F34/E34*100</f>
        <v>100</v>
      </c>
    </row>
    <row r="35" spans="1:7" s="177" customFormat="1" ht="15" customHeight="1">
      <c r="A35" s="174"/>
      <c r="B35" s="189" t="s">
        <v>106</v>
      </c>
      <c r="C35" s="15" t="s">
        <v>107</v>
      </c>
      <c r="D35" s="243">
        <v>12053</v>
      </c>
      <c r="E35" s="243">
        <v>10997</v>
      </c>
      <c r="F35" s="243">
        <v>10997</v>
      </c>
      <c r="G35" s="243">
        <f>F35/E35*100</f>
        <v>100</v>
      </c>
    </row>
    <row r="36" spans="1:7" s="177" customFormat="1" ht="15" customHeight="1">
      <c r="A36" s="174"/>
      <c r="B36" s="189" t="s">
        <v>108</v>
      </c>
      <c r="C36" s="15" t="s">
        <v>109</v>
      </c>
      <c r="D36" s="243">
        <v>0</v>
      </c>
      <c r="E36" s="243">
        <v>0</v>
      </c>
      <c r="F36" s="243">
        <v>0</v>
      </c>
      <c r="G36" s="243"/>
    </row>
    <row r="37" spans="1:7" s="177" customFormat="1" ht="15" customHeight="1">
      <c r="A37" s="174"/>
      <c r="B37" s="189" t="s">
        <v>110</v>
      </c>
      <c r="C37" s="15" t="s">
        <v>111</v>
      </c>
      <c r="D37" s="243">
        <v>0</v>
      </c>
      <c r="E37" s="243">
        <v>0</v>
      </c>
      <c r="F37" s="243">
        <v>0</v>
      </c>
      <c r="G37" s="243"/>
    </row>
    <row r="38" spans="1:7" s="177" customFormat="1" ht="15" customHeight="1">
      <c r="A38" s="170" t="s">
        <v>5</v>
      </c>
      <c r="B38" s="12"/>
      <c r="C38" s="67" t="s">
        <v>787</v>
      </c>
      <c r="D38" s="242">
        <f>SUM(D39:D42)</f>
        <v>0</v>
      </c>
      <c r="E38" s="242">
        <f t="shared" ref="E38:F38" si="5">SUM(E39:E42)</f>
        <v>260</v>
      </c>
      <c r="F38" s="242">
        <f t="shared" si="5"/>
        <v>260</v>
      </c>
      <c r="G38" s="242">
        <f>F38/E38*100</f>
        <v>100</v>
      </c>
    </row>
    <row r="39" spans="1:7" s="173" customFormat="1" ht="15" customHeight="1">
      <c r="A39" s="193"/>
      <c r="B39" s="220" t="s">
        <v>6</v>
      </c>
      <c r="C39" s="27" t="s">
        <v>780</v>
      </c>
      <c r="D39" s="250">
        <v>0</v>
      </c>
      <c r="E39" s="250">
        <v>260</v>
      </c>
      <c r="F39" s="250">
        <v>260</v>
      </c>
      <c r="G39" s="250">
        <f>F39/E39*100</f>
        <v>100</v>
      </c>
    </row>
    <row r="40" spans="1:7" s="177" customFormat="1" ht="15" customHeight="1">
      <c r="A40" s="174"/>
      <c r="B40" s="189" t="s">
        <v>8</v>
      </c>
      <c r="C40" s="15" t="s">
        <v>134</v>
      </c>
      <c r="D40" s="243">
        <v>0</v>
      </c>
      <c r="E40" s="243">
        <v>0</v>
      </c>
      <c r="F40" s="243">
        <v>0</v>
      </c>
      <c r="G40" s="243"/>
    </row>
    <row r="41" spans="1:7" s="177" customFormat="1" ht="30" customHeight="1">
      <c r="A41" s="174"/>
      <c r="B41" s="189" t="s">
        <v>14</v>
      </c>
      <c r="C41" s="15" t="s">
        <v>137</v>
      </c>
      <c r="D41" s="243">
        <v>0</v>
      </c>
      <c r="E41" s="243">
        <v>0</v>
      </c>
      <c r="F41" s="243">
        <v>0</v>
      </c>
      <c r="G41" s="243"/>
    </row>
    <row r="42" spans="1:7" s="177" customFormat="1" ht="15" customHeight="1">
      <c r="A42" s="174"/>
      <c r="B42" s="189" t="s">
        <v>18</v>
      </c>
      <c r="C42" s="15" t="s">
        <v>781</v>
      </c>
      <c r="D42" s="243">
        <v>0</v>
      </c>
      <c r="E42" s="243">
        <v>0</v>
      </c>
      <c r="F42" s="243">
        <v>0</v>
      </c>
      <c r="G42" s="243"/>
    </row>
    <row r="43" spans="1:7" s="177" customFormat="1" ht="15" customHeight="1">
      <c r="A43" s="170" t="s">
        <v>19</v>
      </c>
      <c r="B43" s="12"/>
      <c r="C43" s="67" t="s">
        <v>782</v>
      </c>
      <c r="D43" s="209">
        <v>0</v>
      </c>
      <c r="E43" s="209">
        <v>0</v>
      </c>
      <c r="F43" s="209">
        <v>0</v>
      </c>
      <c r="G43" s="209"/>
    </row>
    <row r="44" spans="1:7" s="177" customFormat="1" ht="15" customHeight="1">
      <c r="A44" s="170"/>
      <c r="B44" s="12"/>
      <c r="C44" s="67" t="s">
        <v>783</v>
      </c>
      <c r="D44" s="209"/>
      <c r="E44" s="209"/>
      <c r="F44" s="209"/>
      <c r="G44" s="209"/>
    </row>
    <row r="45" spans="1:7" s="177" customFormat="1" ht="15" customHeight="1">
      <c r="A45" s="256" t="s">
        <v>149</v>
      </c>
      <c r="B45" s="257"/>
      <c r="C45" s="467" t="s">
        <v>784</v>
      </c>
      <c r="D45" s="258">
        <f>+D32+D38+D43</f>
        <v>92448</v>
      </c>
      <c r="E45" s="258">
        <f t="shared" ref="E45" si="6">+E32+E38+E43</f>
        <v>100149</v>
      </c>
      <c r="F45" s="258">
        <f>+F32+F38+F43+F44</f>
        <v>100149</v>
      </c>
      <c r="G45" s="258">
        <f>F45/E45*100</f>
        <v>100</v>
      </c>
    </row>
    <row r="46" spans="1:7" s="177" customFormat="1" ht="15" customHeight="1">
      <c r="A46" s="230"/>
      <c r="B46" s="231"/>
      <c r="C46" s="231"/>
      <c r="D46" s="231"/>
      <c r="E46" s="231"/>
      <c r="F46" s="231"/>
      <c r="G46" s="231"/>
    </row>
    <row r="47" spans="1:7" s="177" customFormat="1" ht="15" customHeight="1">
      <c r="A47" s="232" t="s">
        <v>289</v>
      </c>
      <c r="B47" s="233"/>
      <c r="C47" s="234"/>
      <c r="D47" s="235">
        <v>31.5</v>
      </c>
      <c r="E47" s="235">
        <v>34.5</v>
      </c>
      <c r="F47" s="235">
        <v>31.5</v>
      </c>
      <c r="G47" s="235"/>
    </row>
    <row r="48" spans="1:7" s="177" customFormat="1" ht="15" customHeight="1">
      <c r="A48" s="232" t="s">
        <v>290</v>
      </c>
      <c r="B48" s="233"/>
      <c r="C48" s="234"/>
      <c r="D48" s="469"/>
      <c r="E48" s="469"/>
      <c r="F48" s="469"/>
      <c r="G48" s="469"/>
    </row>
  </sheetData>
  <sheetProtection selectLockedCells="1" selectUnlockedCells="1"/>
  <mergeCells count="6">
    <mergeCell ref="D1:G1"/>
    <mergeCell ref="A2:B2"/>
    <mergeCell ref="A3:B3"/>
    <mergeCell ref="A5:B5"/>
    <mergeCell ref="D2:D3"/>
    <mergeCell ref="D4:G4"/>
  </mergeCells>
  <printOptions horizontalCentered="1"/>
  <pageMargins left="0.23622047244094491" right="0.19685039370078741" top="0.35433070866141736" bottom="0.39370078740157483" header="0.15748031496062992" footer="0.15748031496062992"/>
  <pageSetup paperSize="9" scale="84" firstPageNumber="85" orientation="portrait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30" workbookViewId="0">
      <selection activeCell="F8" sqref="F8"/>
    </sheetView>
  </sheetViews>
  <sheetFormatPr defaultRowHeight="12.75"/>
  <cols>
    <col min="1" max="1" width="6.5" style="151" customWidth="1"/>
    <col min="2" max="2" width="9.6640625" style="152" customWidth="1"/>
    <col min="3" max="3" width="61" style="152" customWidth="1"/>
    <col min="4" max="4" width="11.6640625" style="152" customWidth="1"/>
    <col min="5" max="5" width="14.5" style="152" customWidth="1"/>
    <col min="6" max="6" width="13" style="152" customWidth="1"/>
    <col min="7" max="7" width="9.5" style="152" customWidth="1"/>
    <col min="8" max="16384" width="9.33203125" style="152"/>
  </cols>
  <sheetData>
    <row r="1" spans="1:7" s="523" customFormat="1" ht="15" customHeight="1">
      <c r="A1" s="433"/>
      <c r="B1" s="434"/>
      <c r="C1" s="435"/>
      <c r="D1" s="1944" t="s">
        <v>826</v>
      </c>
      <c r="E1" s="1944"/>
      <c r="F1" s="1944"/>
      <c r="G1" s="1944"/>
    </row>
    <row r="2" spans="1:7" s="524" customFormat="1" ht="30" customHeight="1">
      <c r="A2" s="1901" t="s">
        <v>760</v>
      </c>
      <c r="B2" s="1901"/>
      <c r="C2" s="153" t="s">
        <v>838</v>
      </c>
      <c r="D2" s="1950" t="s">
        <v>1259</v>
      </c>
      <c r="E2" s="456"/>
      <c r="F2" s="456"/>
      <c r="G2" s="456"/>
    </row>
    <row r="3" spans="1:7" s="524" customFormat="1" ht="30" customHeight="1" thickBot="1">
      <c r="A3" s="1901" t="s">
        <v>258</v>
      </c>
      <c r="B3" s="1901"/>
      <c r="C3" s="156" t="s">
        <v>839</v>
      </c>
      <c r="D3" s="1951"/>
      <c r="E3" s="437"/>
      <c r="F3" s="437"/>
      <c r="G3" s="437"/>
    </row>
    <row r="4" spans="1:7" s="524" customFormat="1" ht="15" customHeight="1" thickBot="1">
      <c r="A4" s="157"/>
      <c r="B4" s="157"/>
      <c r="C4" s="157"/>
      <c r="D4" s="1908" t="s">
        <v>194</v>
      </c>
      <c r="E4" s="1908"/>
      <c r="F4" s="1908"/>
      <c r="G4" s="1908"/>
    </row>
    <row r="5" spans="1:7" s="177" customFormat="1" ht="34.5" customHeight="1" thickBo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7" s="525" customFormat="1" ht="15" customHeight="1">
      <c r="A6" s="160">
        <v>1</v>
      </c>
      <c r="B6" s="163">
        <v>2</v>
      </c>
      <c r="C6" s="163">
        <v>3</v>
      </c>
      <c r="D6" s="164">
        <v>4</v>
      </c>
      <c r="E6" s="164">
        <v>5</v>
      </c>
      <c r="F6" s="164">
        <v>6</v>
      </c>
      <c r="G6" s="164">
        <v>7</v>
      </c>
    </row>
    <row r="7" spans="1:7" s="525" customFormat="1" ht="15" customHeight="1">
      <c r="A7" s="256"/>
      <c r="B7" s="257"/>
      <c r="C7" s="500" t="s">
        <v>196</v>
      </c>
      <c r="D7" s="258"/>
      <c r="E7" s="258"/>
      <c r="F7" s="258"/>
      <c r="G7" s="258"/>
    </row>
    <row r="8" spans="1:7" s="173" customFormat="1" ht="15" customHeight="1">
      <c r="A8" s="170" t="s">
        <v>4</v>
      </c>
      <c r="B8" s="171"/>
      <c r="C8" s="172" t="s">
        <v>762</v>
      </c>
      <c r="D8" s="242">
        <f>SUM(D9:D16)</f>
        <v>197239</v>
      </c>
      <c r="E8" s="242">
        <f t="shared" ref="E8:F8" si="0">SUM(E9:E16)</f>
        <v>205380</v>
      </c>
      <c r="F8" s="242">
        <f t="shared" si="0"/>
        <v>205380</v>
      </c>
      <c r="G8" s="242">
        <f>F8/E8*100</f>
        <v>100</v>
      </c>
    </row>
    <row r="9" spans="1:7" s="173" customFormat="1" ht="15" customHeight="1">
      <c r="A9" s="181"/>
      <c r="B9" s="175" t="s">
        <v>102</v>
      </c>
      <c r="C9" s="19" t="s">
        <v>22</v>
      </c>
      <c r="D9" s="245">
        <v>0</v>
      </c>
      <c r="E9" s="245">
        <v>0</v>
      </c>
      <c r="F9" s="245">
        <v>0</v>
      </c>
      <c r="G9" s="245"/>
    </row>
    <row r="10" spans="1:7" s="173" customFormat="1" ht="15" customHeight="1">
      <c r="A10" s="174"/>
      <c r="B10" s="175" t="s">
        <v>104</v>
      </c>
      <c r="C10" s="15" t="s">
        <v>24</v>
      </c>
      <c r="D10" s="243">
        <v>155306</v>
      </c>
      <c r="E10" s="243">
        <v>161660</v>
      </c>
      <c r="F10" s="243">
        <v>161660</v>
      </c>
      <c r="G10" s="243">
        <f>F10/E10*100</f>
        <v>100</v>
      </c>
    </row>
    <row r="11" spans="1:7" s="173" customFormat="1" ht="15" customHeight="1">
      <c r="A11" s="174"/>
      <c r="B11" s="175" t="s">
        <v>106</v>
      </c>
      <c r="C11" s="15" t="s">
        <v>26</v>
      </c>
      <c r="D11" s="243"/>
      <c r="E11" s="243"/>
      <c r="F11" s="243"/>
      <c r="G11" s="243"/>
    </row>
    <row r="12" spans="1:7" s="173" customFormat="1" ht="15" customHeight="1">
      <c r="A12" s="174"/>
      <c r="B12" s="175" t="s">
        <v>108</v>
      </c>
      <c r="C12" s="15" t="s">
        <v>28</v>
      </c>
      <c r="D12" s="243"/>
      <c r="E12" s="243"/>
      <c r="F12" s="243"/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/>
      <c r="E13" s="243"/>
      <c r="F13" s="243"/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4">
        <v>41933</v>
      </c>
      <c r="E14" s="244">
        <v>43648</v>
      </c>
      <c r="F14" s="244">
        <v>43648</v>
      </c>
      <c r="G14" s="244">
        <f>F14/E14*100</f>
        <v>100</v>
      </c>
    </row>
    <row r="15" spans="1:7" s="177" customFormat="1" ht="15" customHeight="1">
      <c r="A15" s="174"/>
      <c r="B15" s="175" t="s">
        <v>437</v>
      </c>
      <c r="C15" s="15" t="s">
        <v>34</v>
      </c>
      <c r="D15" s="243"/>
      <c r="E15" s="243">
        <v>72</v>
      </c>
      <c r="F15" s="243">
        <v>72</v>
      </c>
      <c r="G15" s="243"/>
    </row>
    <row r="16" spans="1:7" s="177" customFormat="1" ht="15" customHeight="1">
      <c r="A16" s="183"/>
      <c r="B16" s="184" t="s">
        <v>439</v>
      </c>
      <c r="C16" s="22" t="s">
        <v>36</v>
      </c>
      <c r="D16" s="246">
        <v>0</v>
      </c>
      <c r="E16" s="246">
        <v>0</v>
      </c>
      <c r="F16" s="246">
        <v>0</v>
      </c>
      <c r="G16" s="246"/>
    </row>
    <row r="17" spans="1:9" s="173" customFormat="1" ht="15" customHeight="1">
      <c r="A17" s="170" t="s">
        <v>5</v>
      </c>
      <c r="B17" s="171"/>
      <c r="C17" s="211" t="s">
        <v>1635</v>
      </c>
      <c r="D17" s="242">
        <f>SUM(D18:D21)</f>
        <v>45331</v>
      </c>
      <c r="E17" s="242">
        <f t="shared" ref="E17:F17" si="1">SUM(E18:E21)</f>
        <v>48127</v>
      </c>
      <c r="F17" s="242">
        <f t="shared" si="1"/>
        <v>48127</v>
      </c>
      <c r="G17" s="242">
        <f>F17/E17*100</f>
        <v>100</v>
      </c>
    </row>
    <row r="18" spans="1:9" s="177" customFormat="1" ht="15" customHeight="1">
      <c r="A18" s="174"/>
      <c r="B18" s="175" t="s">
        <v>6</v>
      </c>
      <c r="C18" s="27" t="s">
        <v>1636</v>
      </c>
      <c r="D18" s="243">
        <v>45331</v>
      </c>
      <c r="E18" s="243">
        <v>47650</v>
      </c>
      <c r="F18" s="243">
        <v>47650</v>
      </c>
      <c r="G18" s="243">
        <f>F18/E18*100</f>
        <v>100</v>
      </c>
    </row>
    <row r="19" spans="1:9" s="177" customFormat="1" ht="15" customHeight="1">
      <c r="A19" s="174"/>
      <c r="B19" s="175" t="s">
        <v>8</v>
      </c>
      <c r="C19" s="15" t="s">
        <v>1637</v>
      </c>
      <c r="D19" s="243"/>
      <c r="E19" s="243">
        <v>477</v>
      </c>
      <c r="F19" s="243">
        <v>477</v>
      </c>
      <c r="G19" s="243"/>
    </row>
    <row r="20" spans="1:9" s="177" customFormat="1" ht="15" customHeight="1">
      <c r="A20" s="174"/>
      <c r="B20" s="175" t="s">
        <v>10</v>
      </c>
      <c r="C20" s="15" t="s">
        <v>766</v>
      </c>
      <c r="D20" s="243">
        <v>0</v>
      </c>
      <c r="E20" s="243">
        <v>0</v>
      </c>
      <c r="F20" s="243">
        <v>0</v>
      </c>
      <c r="G20" s="243"/>
    </row>
    <row r="21" spans="1:9" s="177" customFormat="1" ht="15" customHeight="1">
      <c r="A21" s="174"/>
      <c r="B21" s="175" t="s">
        <v>12</v>
      </c>
      <c r="C21" s="15" t="s">
        <v>767</v>
      </c>
      <c r="D21" s="243">
        <v>0</v>
      </c>
      <c r="E21" s="243">
        <v>0</v>
      </c>
      <c r="F21" s="243">
        <v>0</v>
      </c>
      <c r="G21" s="243"/>
    </row>
    <row r="22" spans="1:9" s="177" customFormat="1" ht="15" customHeight="1">
      <c r="A22" s="170" t="s">
        <v>19</v>
      </c>
      <c r="B22" s="12"/>
      <c r="C22" s="12" t="s">
        <v>768</v>
      </c>
      <c r="D22" s="209">
        <v>0</v>
      </c>
      <c r="E22" s="209">
        <v>0</v>
      </c>
      <c r="F22" s="209">
        <v>0</v>
      </c>
      <c r="G22" s="209"/>
    </row>
    <row r="23" spans="1:9" s="173" customFormat="1" ht="15" customHeight="1">
      <c r="A23" s="170" t="s">
        <v>149</v>
      </c>
      <c r="B23" s="171"/>
      <c r="C23" s="12" t="s">
        <v>810</v>
      </c>
      <c r="D23" s="209">
        <v>0</v>
      </c>
      <c r="E23" s="209">
        <v>0</v>
      </c>
      <c r="F23" s="209">
        <v>0</v>
      </c>
      <c r="G23" s="209"/>
    </row>
    <row r="24" spans="1:9" s="173" customFormat="1" ht="27" customHeight="1">
      <c r="A24" s="170" t="s">
        <v>38</v>
      </c>
      <c r="B24" s="198"/>
      <c r="C24" s="12" t="s">
        <v>811</v>
      </c>
      <c r="D24" s="254">
        <f>+D25+D26</f>
        <v>0</v>
      </c>
      <c r="E24" s="254">
        <f t="shared" ref="E24:F24" si="2">+E25+E26</f>
        <v>9028</v>
      </c>
      <c r="F24" s="254">
        <f t="shared" si="2"/>
        <v>9028</v>
      </c>
      <c r="G24" s="254">
        <f>F24/E24*100</f>
        <v>100</v>
      </c>
    </row>
    <row r="25" spans="1:9" s="173" customFormat="1" ht="15" customHeight="1">
      <c r="A25" s="181"/>
      <c r="B25" s="188" t="s">
        <v>39</v>
      </c>
      <c r="C25" s="19" t="s">
        <v>772</v>
      </c>
      <c r="D25" s="255">
        <v>0</v>
      </c>
      <c r="E25" s="255">
        <v>9028</v>
      </c>
      <c r="F25" s="255">
        <v>9028</v>
      </c>
      <c r="G25" s="255">
        <f>F25/E25*100</f>
        <v>100</v>
      </c>
    </row>
    <row r="26" spans="1:9" s="173" customFormat="1" ht="15" customHeight="1">
      <c r="A26" s="191"/>
      <c r="B26" s="192" t="s">
        <v>40</v>
      </c>
      <c r="C26" s="24" t="s">
        <v>773</v>
      </c>
      <c r="D26" s="249">
        <v>0</v>
      </c>
      <c r="E26" s="249">
        <v>0</v>
      </c>
      <c r="F26" s="249">
        <v>0</v>
      </c>
      <c r="G26" s="249"/>
    </row>
    <row r="27" spans="1:9" s="177" customFormat="1" ht="15" customHeight="1">
      <c r="A27" s="201" t="s">
        <v>48</v>
      </c>
      <c r="B27" s="202"/>
      <c r="C27" s="12" t="s">
        <v>812</v>
      </c>
      <c r="D27" s="209">
        <v>16267</v>
      </c>
      <c r="E27" s="209">
        <v>42699</v>
      </c>
      <c r="F27" s="209">
        <v>42819</v>
      </c>
      <c r="G27" s="209">
        <f>F27/E27*100</f>
        <v>100.28103702662825</v>
      </c>
    </row>
    <row r="28" spans="1:9" s="177" customFormat="1" ht="15" customHeight="1">
      <c r="A28" s="201"/>
      <c r="B28" s="202"/>
      <c r="C28" s="12" t="s">
        <v>813</v>
      </c>
      <c r="D28" s="209"/>
      <c r="E28" s="209"/>
      <c r="F28" s="209"/>
      <c r="G28" s="209"/>
    </row>
    <row r="29" spans="1:9" s="177" customFormat="1" ht="15" customHeight="1">
      <c r="A29" s="256" t="s">
        <v>178</v>
      </c>
      <c r="B29" s="257"/>
      <c r="C29" s="467" t="s">
        <v>814</v>
      </c>
      <c r="D29" s="258">
        <f>SUM(D8,D17,D22,D23,D24,D27)</f>
        <v>258837</v>
      </c>
      <c r="E29" s="258">
        <f t="shared" ref="E29:F29" si="3">SUM(E8,E17,E22,E23,E24,E27)</f>
        <v>305234</v>
      </c>
      <c r="F29" s="258">
        <f t="shared" si="3"/>
        <v>305354</v>
      </c>
      <c r="G29" s="258">
        <f>F29/E29*100</f>
        <v>100.03931410000197</v>
      </c>
      <c r="I29" s="523">
        <f>SUM(D45-D29)</f>
        <v>0</v>
      </c>
    </row>
    <row r="30" spans="1:9" s="177" customFormat="1" ht="15" customHeight="1">
      <c r="A30" s="449"/>
      <c r="B30" s="449"/>
      <c r="C30" s="468"/>
      <c r="D30" s="501"/>
      <c r="E30" s="501"/>
      <c r="F30" s="501"/>
      <c r="G30" s="501"/>
    </row>
    <row r="31" spans="1:9" s="525" customFormat="1" ht="15" customHeight="1">
      <c r="A31" s="256"/>
      <c r="B31" s="257"/>
      <c r="C31" s="500" t="s">
        <v>197</v>
      </c>
      <c r="D31" s="258"/>
      <c r="E31" s="258"/>
      <c r="F31" s="258"/>
      <c r="G31" s="258"/>
    </row>
    <row r="32" spans="1:9" s="173" customFormat="1" ht="15" customHeight="1">
      <c r="A32" s="170" t="s">
        <v>4</v>
      </c>
      <c r="B32" s="12"/>
      <c r="C32" s="67" t="s">
        <v>101</v>
      </c>
      <c r="D32" s="242">
        <f>SUM(D33:D37)</f>
        <v>258837</v>
      </c>
      <c r="E32" s="242">
        <f t="shared" ref="E32:F32" si="4">SUM(E33:E37)</f>
        <v>304757</v>
      </c>
      <c r="F32" s="242">
        <f t="shared" si="4"/>
        <v>304757</v>
      </c>
      <c r="G32" s="242">
        <f>F32/E32*100</f>
        <v>100</v>
      </c>
    </row>
    <row r="33" spans="1:7" s="177" customFormat="1" ht="15" customHeight="1">
      <c r="A33" s="193"/>
      <c r="B33" s="220" t="s">
        <v>102</v>
      </c>
      <c r="C33" s="27" t="s">
        <v>103</v>
      </c>
      <c r="D33" s="250">
        <v>35918</v>
      </c>
      <c r="E33" s="250">
        <v>39723</v>
      </c>
      <c r="F33" s="250">
        <v>39723</v>
      </c>
      <c r="G33" s="250">
        <f>F33/E33*100</f>
        <v>100</v>
      </c>
    </row>
    <row r="34" spans="1:7" s="177" customFormat="1" ht="15" customHeight="1">
      <c r="A34" s="174"/>
      <c r="B34" s="189" t="s">
        <v>104</v>
      </c>
      <c r="C34" s="15" t="s">
        <v>105</v>
      </c>
      <c r="D34" s="243">
        <v>9491</v>
      </c>
      <c r="E34" s="243">
        <v>8837</v>
      </c>
      <c r="F34" s="243">
        <v>8837</v>
      </c>
      <c r="G34" s="243">
        <f>F34/E34*100</f>
        <v>100</v>
      </c>
    </row>
    <row r="35" spans="1:7" s="177" customFormat="1" ht="15" customHeight="1">
      <c r="A35" s="174"/>
      <c r="B35" s="189" t="s">
        <v>106</v>
      </c>
      <c r="C35" s="15" t="s">
        <v>107</v>
      </c>
      <c r="D35" s="243">
        <v>213428</v>
      </c>
      <c r="E35" s="243">
        <v>256197</v>
      </c>
      <c r="F35" s="243">
        <v>256197</v>
      </c>
      <c r="G35" s="243">
        <f>F35/E35*100</f>
        <v>100</v>
      </c>
    </row>
    <row r="36" spans="1:7" s="177" customFormat="1" ht="15" customHeight="1">
      <c r="A36" s="174"/>
      <c r="B36" s="189" t="s">
        <v>108</v>
      </c>
      <c r="C36" s="15" t="s">
        <v>109</v>
      </c>
      <c r="D36" s="243"/>
      <c r="E36" s="243"/>
      <c r="F36" s="243"/>
      <c r="G36" s="243"/>
    </row>
    <row r="37" spans="1:7" s="177" customFormat="1" ht="15" customHeight="1">
      <c r="A37" s="174"/>
      <c r="B37" s="189" t="s">
        <v>110</v>
      </c>
      <c r="C37" s="15" t="s">
        <v>111</v>
      </c>
      <c r="D37" s="243">
        <v>0</v>
      </c>
      <c r="E37" s="243">
        <v>0</v>
      </c>
      <c r="F37" s="243">
        <v>0</v>
      </c>
      <c r="G37" s="243"/>
    </row>
    <row r="38" spans="1:7" s="177" customFormat="1" ht="15" customHeight="1">
      <c r="A38" s="170" t="s">
        <v>5</v>
      </c>
      <c r="B38" s="12"/>
      <c r="C38" s="67" t="s">
        <v>787</v>
      </c>
      <c r="D38" s="242">
        <f>SUM(D39:D42)</f>
        <v>0</v>
      </c>
      <c r="E38" s="242">
        <f t="shared" ref="E38:F38" si="5">SUM(E39:E42)</f>
        <v>477</v>
      </c>
      <c r="F38" s="242">
        <f t="shared" si="5"/>
        <v>477</v>
      </c>
      <c r="G38" s="242">
        <f>F38/E38*100</f>
        <v>100</v>
      </c>
    </row>
    <row r="39" spans="1:7" s="173" customFormat="1" ht="15" customHeight="1">
      <c r="A39" s="193"/>
      <c r="B39" s="220" t="s">
        <v>6</v>
      </c>
      <c r="C39" s="27" t="s">
        <v>780</v>
      </c>
      <c r="D39" s="250">
        <v>0</v>
      </c>
      <c r="E39" s="250">
        <v>244</v>
      </c>
      <c r="F39" s="250">
        <v>244</v>
      </c>
      <c r="G39" s="250">
        <f>F39/E39*100</f>
        <v>100</v>
      </c>
    </row>
    <row r="40" spans="1:7" s="177" customFormat="1" ht="15" customHeight="1">
      <c r="A40" s="174"/>
      <c r="B40" s="189" t="s">
        <v>8</v>
      </c>
      <c r="C40" s="15" t="s">
        <v>134</v>
      </c>
      <c r="D40" s="243">
        <v>0</v>
      </c>
      <c r="E40" s="243">
        <v>233</v>
      </c>
      <c r="F40" s="243">
        <v>233</v>
      </c>
      <c r="G40" s="243"/>
    </row>
    <row r="41" spans="1:7" s="177" customFormat="1" ht="30" customHeight="1">
      <c r="A41" s="174"/>
      <c r="B41" s="189" t="s">
        <v>14</v>
      </c>
      <c r="C41" s="15" t="s">
        <v>137</v>
      </c>
      <c r="D41" s="243">
        <v>0</v>
      </c>
      <c r="E41" s="243">
        <v>0</v>
      </c>
      <c r="F41" s="243">
        <v>0</v>
      </c>
      <c r="G41" s="243"/>
    </row>
    <row r="42" spans="1:7" s="177" customFormat="1" ht="15" customHeight="1">
      <c r="A42" s="174"/>
      <c r="B42" s="189" t="s">
        <v>18</v>
      </c>
      <c r="C42" s="15" t="s">
        <v>781</v>
      </c>
      <c r="D42" s="243">
        <v>0</v>
      </c>
      <c r="E42" s="243">
        <v>0</v>
      </c>
      <c r="F42" s="243">
        <v>0</v>
      </c>
      <c r="G42" s="243"/>
    </row>
    <row r="43" spans="1:7" s="177" customFormat="1" ht="15" customHeight="1">
      <c r="A43" s="170" t="s">
        <v>19</v>
      </c>
      <c r="B43" s="12"/>
      <c r="C43" s="67" t="s">
        <v>782</v>
      </c>
      <c r="D43" s="209">
        <v>0</v>
      </c>
      <c r="E43" s="209">
        <v>0</v>
      </c>
      <c r="F43" s="209">
        <v>0</v>
      </c>
      <c r="G43" s="209"/>
    </row>
    <row r="44" spans="1:7" s="177" customFormat="1" ht="15" customHeight="1">
      <c r="A44" s="170"/>
      <c r="B44" s="12"/>
      <c r="C44" s="67" t="s">
        <v>783</v>
      </c>
      <c r="D44" s="209"/>
      <c r="E44" s="209"/>
      <c r="F44" s="209"/>
      <c r="G44" s="209"/>
    </row>
    <row r="45" spans="1:7" s="177" customFormat="1" ht="15" customHeight="1">
      <c r="A45" s="256" t="s">
        <v>149</v>
      </c>
      <c r="B45" s="257"/>
      <c r="C45" s="467" t="s">
        <v>784</v>
      </c>
      <c r="D45" s="258">
        <f>+D32+D38+D43</f>
        <v>258837</v>
      </c>
      <c r="E45" s="258">
        <f t="shared" ref="E45" si="6">+E32+E38+E43</f>
        <v>305234</v>
      </c>
      <c r="F45" s="258">
        <f>+F32+F38+F43+F44</f>
        <v>305234</v>
      </c>
      <c r="G45" s="258">
        <f>F45/E45*100</f>
        <v>100</v>
      </c>
    </row>
    <row r="46" spans="1:7" s="177" customFormat="1" ht="15" customHeight="1">
      <c r="A46" s="230"/>
      <c r="B46" s="231"/>
      <c r="C46" s="231"/>
      <c r="D46" s="231"/>
      <c r="E46" s="231"/>
      <c r="F46" s="231"/>
      <c r="G46" s="231"/>
    </row>
    <row r="47" spans="1:7" s="177" customFormat="1" ht="15" customHeight="1">
      <c r="A47" s="232" t="s">
        <v>289</v>
      </c>
      <c r="B47" s="233"/>
      <c r="C47" s="234"/>
      <c r="D47" s="235">
        <v>25</v>
      </c>
      <c r="E47" s="235">
        <v>25</v>
      </c>
      <c r="F47" s="235">
        <v>25</v>
      </c>
      <c r="G47" s="235"/>
    </row>
    <row r="48" spans="1:7" s="177" customFormat="1" ht="15" customHeight="1">
      <c r="A48" s="232" t="s">
        <v>290</v>
      </c>
      <c r="B48" s="233"/>
      <c r="C48" s="234"/>
      <c r="D48" s="469"/>
      <c r="E48" s="469"/>
      <c r="F48" s="469"/>
      <c r="G48" s="469"/>
    </row>
  </sheetData>
  <sheetProtection selectLockedCells="1" selectUnlockedCells="1"/>
  <mergeCells count="6">
    <mergeCell ref="D1:G1"/>
    <mergeCell ref="A2:B2"/>
    <mergeCell ref="A3:B3"/>
    <mergeCell ref="A5:B5"/>
    <mergeCell ref="D2:D3"/>
    <mergeCell ref="D4:G4"/>
  </mergeCells>
  <printOptions horizontalCentered="1"/>
  <pageMargins left="0.19685039370078741" right="0.31496062992125984" top="0.35433070866141736" bottom="0.43307086614173229" header="0.15748031496062992" footer="0.15748031496062992"/>
  <pageSetup paperSize="9" scale="87" firstPageNumber="86" orientation="portrait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zoomScaleNormal="130" workbookViewId="0">
      <selection activeCell="E7" sqref="E1:H1048576"/>
    </sheetView>
  </sheetViews>
  <sheetFormatPr defaultRowHeight="12.75"/>
  <cols>
    <col min="1" max="1" width="6.5" style="151" customWidth="1"/>
    <col min="2" max="2" width="9.6640625" style="152" customWidth="1"/>
    <col min="3" max="3" width="62" style="152" customWidth="1"/>
    <col min="4" max="4" width="11.83203125" style="152" customWidth="1"/>
    <col min="5" max="6" width="13.33203125" style="152" customWidth="1"/>
    <col min="7" max="7" width="9.1640625" style="152" customWidth="1"/>
    <col min="8" max="16384" width="9.33203125" style="152"/>
  </cols>
  <sheetData>
    <row r="1" spans="1:7" s="523" customFormat="1" ht="15" customHeight="1">
      <c r="A1" s="433"/>
      <c r="B1" s="434"/>
      <c r="C1" s="435"/>
      <c r="D1" s="1944" t="s">
        <v>828</v>
      </c>
      <c r="E1" s="1944"/>
      <c r="F1" s="1944"/>
      <c r="G1" s="1944"/>
    </row>
    <row r="2" spans="1:7" s="524" customFormat="1" ht="30" customHeight="1">
      <c r="A2" s="1901" t="s">
        <v>760</v>
      </c>
      <c r="B2" s="1901"/>
      <c r="C2" s="153" t="s">
        <v>840</v>
      </c>
      <c r="D2" s="1950" t="s">
        <v>1259</v>
      </c>
      <c r="E2" s="456"/>
      <c r="F2" s="456"/>
      <c r="G2" s="456"/>
    </row>
    <row r="3" spans="1:7" s="524" customFormat="1" ht="30" customHeight="1" thickBot="1">
      <c r="A3" s="1901" t="s">
        <v>258</v>
      </c>
      <c r="B3" s="1901"/>
      <c r="C3" s="526"/>
      <c r="D3" s="1951"/>
      <c r="E3" s="437"/>
      <c r="F3" s="437"/>
      <c r="G3" s="437"/>
    </row>
    <row r="4" spans="1:7" s="524" customFormat="1" ht="15" customHeight="1" thickBot="1">
      <c r="A4" s="157"/>
      <c r="B4" s="157"/>
      <c r="C4" s="157"/>
      <c r="D4" s="1908" t="s">
        <v>194</v>
      </c>
      <c r="E4" s="1908"/>
      <c r="F4" s="1908"/>
      <c r="G4" s="1908"/>
    </row>
    <row r="5" spans="1:7" s="177" customFormat="1" ht="33" customHeight="1" thickBo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7" s="525" customFormat="1" ht="15" customHeight="1">
      <c r="A6" s="160">
        <v>1</v>
      </c>
      <c r="B6" s="163">
        <v>2</v>
      </c>
      <c r="C6" s="163">
        <v>3</v>
      </c>
      <c r="D6" s="164">
        <v>4</v>
      </c>
      <c r="E6" s="164">
        <v>5</v>
      </c>
      <c r="F6" s="164">
        <v>6</v>
      </c>
      <c r="G6" s="164">
        <v>7</v>
      </c>
    </row>
    <row r="7" spans="1:7" s="525" customFormat="1" ht="15" customHeight="1">
      <c r="A7" s="256"/>
      <c r="B7" s="257"/>
      <c r="C7" s="500" t="s">
        <v>196</v>
      </c>
      <c r="D7" s="258"/>
      <c r="E7" s="258"/>
      <c r="F7" s="258"/>
      <c r="G7" s="258"/>
    </row>
    <row r="8" spans="1:7" s="173" customFormat="1" ht="15" customHeight="1">
      <c r="A8" s="256" t="s">
        <v>4</v>
      </c>
      <c r="B8" s="257"/>
      <c r="C8" s="172" t="s">
        <v>762</v>
      </c>
      <c r="D8" s="242">
        <f>SUM(D9:D16)</f>
        <v>6917</v>
      </c>
      <c r="E8" s="242">
        <f t="shared" ref="E8:F8" si="0">SUM(E9:E16)</f>
        <v>8823</v>
      </c>
      <c r="F8" s="242">
        <f t="shared" si="0"/>
        <v>8823</v>
      </c>
      <c r="G8" s="242">
        <f>F8/E8*100</f>
        <v>100</v>
      </c>
    </row>
    <row r="9" spans="1:7" s="173" customFormat="1" ht="15" customHeight="1">
      <c r="A9" s="181"/>
      <c r="B9" s="175" t="s">
        <v>102</v>
      </c>
      <c r="C9" s="19" t="s">
        <v>22</v>
      </c>
      <c r="D9" s="245">
        <v>0</v>
      </c>
      <c r="E9" s="245">
        <v>0</v>
      </c>
      <c r="F9" s="245">
        <v>0</v>
      </c>
      <c r="G9" s="245"/>
    </row>
    <row r="10" spans="1:7" s="173" customFormat="1" ht="15" customHeight="1">
      <c r="A10" s="174"/>
      <c r="B10" s="175" t="s">
        <v>104</v>
      </c>
      <c r="C10" s="15" t="s">
        <v>24</v>
      </c>
      <c r="D10" s="243"/>
      <c r="E10" s="243"/>
      <c r="F10" s="243"/>
      <c r="G10" s="243"/>
    </row>
    <row r="11" spans="1:7" s="173" customFormat="1" ht="15" customHeight="1">
      <c r="A11" s="174"/>
      <c r="B11" s="175" t="s">
        <v>106</v>
      </c>
      <c r="C11" s="15" t="s">
        <v>892</v>
      </c>
      <c r="D11" s="243">
        <v>2500</v>
      </c>
      <c r="E11" s="243">
        <v>4581</v>
      </c>
      <c r="F11" s="243">
        <v>4581</v>
      </c>
      <c r="G11" s="243"/>
    </row>
    <row r="12" spans="1:7" s="173" customFormat="1" ht="15" customHeight="1">
      <c r="A12" s="174"/>
      <c r="B12" s="175" t="s">
        <v>108</v>
      </c>
      <c r="C12" s="15" t="s">
        <v>28</v>
      </c>
      <c r="D12" s="243">
        <v>2571</v>
      </c>
      <c r="E12" s="243">
        <v>1931</v>
      </c>
      <c r="F12" s="243">
        <v>1931</v>
      </c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>
        <v>907</v>
      </c>
      <c r="E13" s="243">
        <v>1142</v>
      </c>
      <c r="F13" s="243">
        <v>1142</v>
      </c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4">
        <v>939</v>
      </c>
      <c r="E14" s="244">
        <v>1156</v>
      </c>
      <c r="F14" s="244">
        <v>1156</v>
      </c>
      <c r="G14" s="244">
        <f>F14/E14*100</f>
        <v>100</v>
      </c>
    </row>
    <row r="15" spans="1:7" s="177" customFormat="1" ht="15" customHeight="1">
      <c r="A15" s="174"/>
      <c r="B15" s="175" t="s">
        <v>437</v>
      </c>
      <c r="C15" s="15" t="s">
        <v>34</v>
      </c>
      <c r="D15" s="243"/>
      <c r="E15" s="243">
        <v>13</v>
      </c>
      <c r="F15" s="243">
        <v>13</v>
      </c>
      <c r="G15" s="243"/>
    </row>
    <row r="16" spans="1:7" s="177" customFormat="1" ht="15" customHeight="1">
      <c r="A16" s="183"/>
      <c r="B16" s="184" t="s">
        <v>439</v>
      </c>
      <c r="C16" s="22" t="s">
        <v>36</v>
      </c>
      <c r="D16" s="246">
        <v>0</v>
      </c>
      <c r="E16" s="246">
        <v>0</v>
      </c>
      <c r="F16" s="246">
        <v>0</v>
      </c>
      <c r="G16" s="246"/>
    </row>
    <row r="17" spans="1:10" s="173" customFormat="1" ht="15" customHeight="1">
      <c r="A17" s="170" t="s">
        <v>5</v>
      </c>
      <c r="B17" s="171"/>
      <c r="C17" s="211" t="s">
        <v>1635</v>
      </c>
      <c r="D17" s="242">
        <f>SUM(D18:D21)</f>
        <v>23819</v>
      </c>
      <c r="E17" s="242">
        <f t="shared" ref="E17:F17" si="1">SUM(E18:E21)</f>
        <v>24665</v>
      </c>
      <c r="F17" s="242">
        <f t="shared" si="1"/>
        <v>24665</v>
      </c>
      <c r="G17" s="242">
        <f>F17/E17*100</f>
        <v>100</v>
      </c>
    </row>
    <row r="18" spans="1:10" s="177" customFormat="1" ht="15" customHeight="1">
      <c r="A18" s="174"/>
      <c r="B18" s="175" t="s">
        <v>6</v>
      </c>
      <c r="C18" s="27" t="s">
        <v>1636</v>
      </c>
      <c r="D18" s="243">
        <v>23819</v>
      </c>
      <c r="E18" s="243">
        <v>24665</v>
      </c>
      <c r="F18" s="243">
        <v>24665</v>
      </c>
      <c r="G18" s="243">
        <f>F18/E18*100</f>
        <v>100</v>
      </c>
      <c r="I18" s="190"/>
      <c r="J18" s="190"/>
    </row>
    <row r="19" spans="1:10" s="177" customFormat="1" ht="15" customHeight="1">
      <c r="A19" s="174"/>
      <c r="B19" s="175" t="s">
        <v>8</v>
      </c>
      <c r="C19" s="15" t="s">
        <v>1637</v>
      </c>
      <c r="D19" s="243">
        <v>0</v>
      </c>
      <c r="E19" s="243">
        <v>0</v>
      </c>
      <c r="F19" s="243"/>
      <c r="G19" s="243"/>
      <c r="I19" s="190"/>
      <c r="J19" s="190"/>
    </row>
    <row r="20" spans="1:10" s="177" customFormat="1" ht="15" customHeight="1">
      <c r="A20" s="174"/>
      <c r="B20" s="175" t="s">
        <v>10</v>
      </c>
      <c r="C20" s="15" t="s">
        <v>766</v>
      </c>
      <c r="D20" s="243">
        <v>0</v>
      </c>
      <c r="E20" s="243">
        <v>0</v>
      </c>
      <c r="F20" s="243">
        <v>0</v>
      </c>
      <c r="G20" s="243"/>
      <c r="I20" s="190"/>
      <c r="J20" s="190"/>
    </row>
    <row r="21" spans="1:10" s="177" customFormat="1" ht="15" customHeight="1">
      <c r="A21" s="174"/>
      <c r="B21" s="175" t="s">
        <v>12</v>
      </c>
      <c r="C21" s="15" t="s">
        <v>767</v>
      </c>
      <c r="D21" s="243">
        <v>0</v>
      </c>
      <c r="E21" s="243">
        <v>0</v>
      </c>
      <c r="F21" s="243">
        <v>0</v>
      </c>
      <c r="G21" s="243"/>
      <c r="I21" s="190"/>
      <c r="J21" s="190"/>
    </row>
    <row r="22" spans="1:10" s="177" customFormat="1" ht="15" customHeight="1">
      <c r="A22" s="170" t="s">
        <v>19</v>
      </c>
      <c r="B22" s="12"/>
      <c r="C22" s="12" t="s">
        <v>768</v>
      </c>
      <c r="D22" s="209">
        <v>0</v>
      </c>
      <c r="E22" s="209">
        <v>0</v>
      </c>
      <c r="F22" s="209">
        <v>0</v>
      </c>
      <c r="G22" s="209"/>
      <c r="I22" s="190"/>
      <c r="J22" s="190"/>
    </row>
    <row r="23" spans="1:10" s="173" customFormat="1" ht="15" customHeight="1">
      <c r="A23" s="170" t="s">
        <v>149</v>
      </c>
      <c r="B23" s="171"/>
      <c r="C23" s="12" t="s">
        <v>810</v>
      </c>
      <c r="D23" s="209">
        <v>0</v>
      </c>
      <c r="E23" s="209">
        <v>0</v>
      </c>
      <c r="F23" s="209">
        <v>0</v>
      </c>
      <c r="G23" s="209"/>
      <c r="I23" s="518"/>
      <c r="J23" s="518"/>
    </row>
    <row r="24" spans="1:10" s="173" customFormat="1" ht="15" customHeight="1">
      <c r="A24" s="170" t="s">
        <v>38</v>
      </c>
      <c r="B24" s="198"/>
      <c r="C24" s="12" t="s">
        <v>811</v>
      </c>
      <c r="D24" s="254">
        <f>+D25+D26</f>
        <v>0</v>
      </c>
      <c r="E24" s="254">
        <f t="shared" ref="E24:F24" si="2">+E25+E26</f>
        <v>97</v>
      </c>
      <c r="F24" s="254">
        <f t="shared" si="2"/>
        <v>97</v>
      </c>
      <c r="G24" s="254"/>
      <c r="I24" s="518"/>
      <c r="J24" s="518"/>
    </row>
    <row r="25" spans="1:10" s="173" customFormat="1" ht="15" customHeight="1">
      <c r="A25" s="181"/>
      <c r="B25" s="188" t="s">
        <v>39</v>
      </c>
      <c r="C25" s="19" t="s">
        <v>772</v>
      </c>
      <c r="D25" s="255">
        <v>0</v>
      </c>
      <c r="E25" s="255">
        <v>97</v>
      </c>
      <c r="F25" s="255">
        <v>97</v>
      </c>
      <c r="G25" s="255"/>
      <c r="I25" s="518"/>
      <c r="J25" s="518"/>
    </row>
    <row r="26" spans="1:10" s="173" customFormat="1" ht="15" customHeight="1">
      <c r="A26" s="191"/>
      <c r="B26" s="192" t="s">
        <v>40</v>
      </c>
      <c r="C26" s="24" t="s">
        <v>773</v>
      </c>
      <c r="D26" s="249">
        <v>0</v>
      </c>
      <c r="E26" s="249">
        <v>0</v>
      </c>
      <c r="F26" s="249">
        <v>0</v>
      </c>
      <c r="G26" s="249"/>
      <c r="I26" s="518"/>
      <c r="J26" s="518"/>
    </row>
    <row r="27" spans="1:10" s="177" customFormat="1" ht="15" customHeight="1">
      <c r="A27" s="201" t="s">
        <v>48</v>
      </c>
      <c r="B27" s="202"/>
      <c r="C27" s="12" t="s">
        <v>812</v>
      </c>
      <c r="D27" s="209">
        <v>26907</v>
      </c>
      <c r="E27" s="209">
        <v>18118</v>
      </c>
      <c r="F27" s="209">
        <v>18118</v>
      </c>
      <c r="G27" s="209">
        <f>F27/E27*100</f>
        <v>100</v>
      </c>
      <c r="I27" s="190">
        <f>SUM(D32-D29)</f>
        <v>0</v>
      </c>
      <c r="J27" s="190"/>
    </row>
    <row r="28" spans="1:10" s="177" customFormat="1" ht="15" customHeight="1">
      <c r="A28" s="201"/>
      <c r="B28" s="202"/>
      <c r="C28" s="12" t="s">
        <v>813</v>
      </c>
      <c r="D28" s="209"/>
      <c r="E28" s="209"/>
      <c r="F28" s="209"/>
      <c r="G28" s="209"/>
    </row>
    <row r="29" spans="1:10" s="177" customFormat="1" ht="15" customHeight="1">
      <c r="A29" s="256" t="s">
        <v>178</v>
      </c>
      <c r="B29" s="257"/>
      <c r="C29" s="467" t="s">
        <v>814</v>
      </c>
      <c r="D29" s="258">
        <f>SUM(D8,D17,D22,D23,D24,D27)</f>
        <v>57643</v>
      </c>
      <c r="E29" s="258">
        <f t="shared" ref="E29" si="3">SUM(E8,E17,E22,E23,E24,E27)</f>
        <v>51703</v>
      </c>
      <c r="F29" s="258">
        <f>SUM(F8,F17,F22,F23,F24,F27)</f>
        <v>51703</v>
      </c>
      <c r="G29" s="258">
        <f>F29/E29*100</f>
        <v>100</v>
      </c>
      <c r="I29" s="190"/>
      <c r="J29" s="190"/>
    </row>
    <row r="30" spans="1:10" s="177" customFormat="1" ht="15" customHeight="1">
      <c r="A30" s="449"/>
      <c r="B30" s="449"/>
      <c r="C30" s="468"/>
      <c r="D30" s="501"/>
      <c r="E30" s="501"/>
      <c r="F30" s="501"/>
      <c r="G30" s="501"/>
    </row>
    <row r="31" spans="1:10" s="525" customFormat="1" ht="15" customHeight="1">
      <c r="A31" s="256"/>
      <c r="B31" s="257"/>
      <c r="C31" s="500" t="s">
        <v>197</v>
      </c>
      <c r="D31" s="258"/>
      <c r="E31" s="258"/>
      <c r="F31" s="258"/>
      <c r="G31" s="258"/>
    </row>
    <row r="32" spans="1:10" s="173" customFormat="1" ht="15" customHeight="1">
      <c r="A32" s="170" t="s">
        <v>4</v>
      </c>
      <c r="B32" s="12"/>
      <c r="C32" s="67" t="s">
        <v>101</v>
      </c>
      <c r="D32" s="242">
        <f>SUM(D33:D37)</f>
        <v>57643</v>
      </c>
      <c r="E32" s="242">
        <f t="shared" ref="E32:F32" si="4">SUM(E33:E37)</f>
        <v>51703</v>
      </c>
      <c r="F32" s="242">
        <f t="shared" si="4"/>
        <v>51703</v>
      </c>
      <c r="G32" s="242">
        <f>F32/E32*100</f>
        <v>100</v>
      </c>
    </row>
    <row r="33" spans="1:7" s="177" customFormat="1" ht="15" customHeight="1">
      <c r="A33" s="193"/>
      <c r="B33" s="220" t="s">
        <v>102</v>
      </c>
      <c r="C33" s="27" t="s">
        <v>103</v>
      </c>
      <c r="D33" s="250">
        <v>32955</v>
      </c>
      <c r="E33" s="250">
        <v>34166</v>
      </c>
      <c r="F33" s="250">
        <v>34166</v>
      </c>
      <c r="G33" s="250">
        <f>F33/E33*100</f>
        <v>100</v>
      </c>
    </row>
    <row r="34" spans="1:7" s="177" customFormat="1" ht="15" customHeight="1">
      <c r="A34" s="174"/>
      <c r="B34" s="189" t="s">
        <v>104</v>
      </c>
      <c r="C34" s="15" t="s">
        <v>105</v>
      </c>
      <c r="D34" s="243">
        <v>8632</v>
      </c>
      <c r="E34" s="243">
        <v>7943</v>
      </c>
      <c r="F34" s="243">
        <v>7943</v>
      </c>
      <c r="G34" s="243">
        <f>F34/E34*100</f>
        <v>100</v>
      </c>
    </row>
    <row r="35" spans="1:7" s="177" customFormat="1" ht="15" customHeight="1">
      <c r="A35" s="174"/>
      <c r="B35" s="189" t="s">
        <v>106</v>
      </c>
      <c r="C35" s="15" t="s">
        <v>107</v>
      </c>
      <c r="D35" s="243">
        <v>16056</v>
      </c>
      <c r="E35" s="243">
        <v>9594</v>
      </c>
      <c r="F35" s="243">
        <v>9594</v>
      </c>
      <c r="G35" s="243">
        <f>F35/E35*100</f>
        <v>100</v>
      </c>
    </row>
    <row r="36" spans="1:7" s="177" customFormat="1" ht="15" customHeight="1">
      <c r="A36" s="174"/>
      <c r="B36" s="189" t="s">
        <v>108</v>
      </c>
      <c r="C36" s="15" t="s">
        <v>109</v>
      </c>
      <c r="D36" s="243"/>
      <c r="E36" s="243"/>
      <c r="F36" s="243"/>
      <c r="G36" s="243"/>
    </row>
    <row r="37" spans="1:7" s="177" customFormat="1" ht="15" customHeight="1">
      <c r="A37" s="174"/>
      <c r="B37" s="189" t="s">
        <v>110</v>
      </c>
      <c r="C37" s="15" t="s">
        <v>111</v>
      </c>
      <c r="D37" s="243">
        <v>0</v>
      </c>
      <c r="E37" s="243">
        <v>0</v>
      </c>
      <c r="F37" s="243">
        <v>0</v>
      </c>
      <c r="G37" s="243"/>
    </row>
    <row r="38" spans="1:7" s="177" customFormat="1" ht="15" customHeight="1">
      <c r="A38" s="170" t="s">
        <v>5</v>
      </c>
      <c r="B38" s="12"/>
      <c r="C38" s="67" t="s">
        <v>787</v>
      </c>
      <c r="D38" s="242">
        <f>SUM(D39:D42)</f>
        <v>0</v>
      </c>
      <c r="E38" s="242">
        <f t="shared" ref="E38:F38" si="5">SUM(E39:E42)</f>
        <v>0</v>
      </c>
      <c r="F38" s="242">
        <f t="shared" si="5"/>
        <v>0</v>
      </c>
      <c r="G38" s="242"/>
    </row>
    <row r="39" spans="1:7" s="173" customFormat="1" ht="15" customHeight="1">
      <c r="A39" s="193"/>
      <c r="B39" s="220" t="s">
        <v>6</v>
      </c>
      <c r="C39" s="27" t="s">
        <v>780</v>
      </c>
      <c r="D39" s="250">
        <v>0</v>
      </c>
      <c r="E39" s="250">
        <v>0</v>
      </c>
      <c r="F39" s="250">
        <v>0</v>
      </c>
      <c r="G39" s="250"/>
    </row>
    <row r="40" spans="1:7" s="177" customFormat="1" ht="15" customHeight="1">
      <c r="A40" s="174"/>
      <c r="B40" s="189" t="s">
        <v>8</v>
      </c>
      <c r="C40" s="15" t="s">
        <v>134</v>
      </c>
      <c r="D40" s="243">
        <v>0</v>
      </c>
      <c r="E40" s="243">
        <v>0</v>
      </c>
      <c r="F40" s="243">
        <v>0</v>
      </c>
      <c r="G40" s="243"/>
    </row>
    <row r="41" spans="1:7" s="177" customFormat="1" ht="30" customHeight="1">
      <c r="A41" s="174"/>
      <c r="B41" s="189" t="s">
        <v>14</v>
      </c>
      <c r="C41" s="15" t="s">
        <v>137</v>
      </c>
      <c r="D41" s="243">
        <v>0</v>
      </c>
      <c r="E41" s="243">
        <v>0</v>
      </c>
      <c r="F41" s="243">
        <v>0</v>
      </c>
      <c r="G41" s="243"/>
    </row>
    <row r="42" spans="1:7" s="177" customFormat="1" ht="15" customHeight="1">
      <c r="A42" s="174"/>
      <c r="B42" s="189" t="s">
        <v>18</v>
      </c>
      <c r="C42" s="15" t="s">
        <v>781</v>
      </c>
      <c r="D42" s="243">
        <v>0</v>
      </c>
      <c r="E42" s="243">
        <v>0</v>
      </c>
      <c r="F42" s="243">
        <v>0</v>
      </c>
      <c r="G42" s="243"/>
    </row>
    <row r="43" spans="1:7" s="177" customFormat="1" ht="15" customHeight="1">
      <c r="A43" s="170" t="s">
        <v>19</v>
      </c>
      <c r="B43" s="12"/>
      <c r="C43" s="67" t="s">
        <v>782</v>
      </c>
      <c r="D43" s="209">
        <v>0</v>
      </c>
      <c r="E43" s="209">
        <v>0</v>
      </c>
      <c r="F43" s="209">
        <v>0</v>
      </c>
      <c r="G43" s="209"/>
    </row>
    <row r="44" spans="1:7" s="177" customFormat="1" ht="15" customHeight="1">
      <c r="A44" s="170"/>
      <c r="B44" s="12"/>
      <c r="C44" s="67" t="s">
        <v>783</v>
      </c>
      <c r="D44" s="209"/>
      <c r="E44" s="209"/>
      <c r="F44" s="209"/>
      <c r="G44" s="209"/>
    </row>
    <row r="45" spans="1:7" s="177" customFormat="1" ht="15" customHeight="1">
      <c r="A45" s="256" t="s">
        <v>149</v>
      </c>
      <c r="B45" s="257"/>
      <c r="C45" s="467" t="s">
        <v>784</v>
      </c>
      <c r="D45" s="258">
        <f>+D32+D38+D43</f>
        <v>57643</v>
      </c>
      <c r="E45" s="258">
        <f t="shared" ref="E45" si="6">+E32+E38+E43</f>
        <v>51703</v>
      </c>
      <c r="F45" s="258">
        <f>+F32+F38+F43+F44</f>
        <v>51703</v>
      </c>
      <c r="G45" s="258">
        <f>F45/E45*100</f>
        <v>100</v>
      </c>
    </row>
    <row r="46" spans="1:7" s="177" customFormat="1" ht="15" customHeight="1">
      <c r="A46" s="230"/>
      <c r="B46" s="231"/>
      <c r="C46" s="231"/>
      <c r="D46" s="231"/>
      <c r="E46" s="231"/>
      <c r="F46" s="231"/>
      <c r="G46" s="231"/>
    </row>
    <row r="47" spans="1:7" s="177" customFormat="1" ht="15" customHeight="1">
      <c r="A47" s="232" t="s">
        <v>289</v>
      </c>
      <c r="B47" s="233"/>
      <c r="C47" s="234"/>
      <c r="D47" s="235">
        <v>21</v>
      </c>
      <c r="E47" s="235">
        <v>21</v>
      </c>
      <c r="F47" s="235">
        <v>21</v>
      </c>
      <c r="G47" s="235"/>
    </row>
    <row r="48" spans="1:7" s="177" customFormat="1" ht="15" customHeight="1">
      <c r="A48" s="232" t="s">
        <v>290</v>
      </c>
      <c r="B48" s="233"/>
      <c r="C48" s="234"/>
      <c r="D48" s="469"/>
      <c r="E48" s="469"/>
      <c r="F48" s="469"/>
      <c r="G48" s="469"/>
    </row>
  </sheetData>
  <sheetProtection selectLockedCells="1" selectUnlockedCells="1"/>
  <mergeCells count="6">
    <mergeCell ref="D1:G1"/>
    <mergeCell ref="A2:B2"/>
    <mergeCell ref="A3:B3"/>
    <mergeCell ref="A5:B5"/>
    <mergeCell ref="D2:D3"/>
    <mergeCell ref="D4:G4"/>
  </mergeCells>
  <printOptions horizontalCentered="1"/>
  <pageMargins left="0.23622047244094491" right="0.27559055118110237" top="0.39370078740157483" bottom="0.35433070866141736" header="0.19685039370078741" footer="0.15748031496062992"/>
  <pageSetup paperSize="9" scale="87" firstPageNumber="87" orientation="portrait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topLeftCell="A4" zoomScaleNormal="130" workbookViewId="0">
      <selection activeCell="I19" sqref="I19"/>
    </sheetView>
  </sheetViews>
  <sheetFormatPr defaultRowHeight="12.75"/>
  <cols>
    <col min="1" max="1" width="6.5" style="151" customWidth="1"/>
    <col min="2" max="2" width="9.6640625" style="152" customWidth="1"/>
    <col min="3" max="3" width="61.5" style="152" customWidth="1"/>
    <col min="4" max="4" width="10.33203125" style="152" customWidth="1"/>
    <col min="5" max="5" width="13.5" style="152" customWidth="1"/>
    <col min="6" max="6" width="12.6640625" style="152" customWidth="1"/>
    <col min="7" max="8" width="10.33203125" style="152" customWidth="1"/>
    <col min="9" max="16384" width="9.33203125" style="152"/>
  </cols>
  <sheetData>
    <row r="1" spans="1:7" s="523" customFormat="1" ht="15" customHeight="1">
      <c r="A1" s="433"/>
      <c r="B1" s="434"/>
      <c r="C1" s="435"/>
      <c r="D1" s="1944" t="s">
        <v>1380</v>
      </c>
      <c r="E1" s="1944"/>
      <c r="F1" s="1944"/>
      <c r="G1" s="1944"/>
    </row>
    <row r="2" spans="1:7" s="524" customFormat="1" ht="30" customHeight="1">
      <c r="A2" s="1901" t="s">
        <v>760</v>
      </c>
      <c r="B2" s="1901"/>
      <c r="C2" s="153" t="s">
        <v>1919</v>
      </c>
      <c r="D2" s="1950" t="s">
        <v>1259</v>
      </c>
      <c r="E2" s="456"/>
      <c r="F2" s="456"/>
      <c r="G2" s="456"/>
    </row>
    <row r="3" spans="1:7" s="524" customFormat="1" ht="30" customHeight="1" thickBot="1">
      <c r="A3" s="1901" t="s">
        <v>258</v>
      </c>
      <c r="B3" s="1901"/>
      <c r="C3" s="156" t="s">
        <v>841</v>
      </c>
      <c r="D3" s="1951"/>
      <c r="E3" s="437"/>
      <c r="F3" s="437"/>
      <c r="G3" s="437"/>
    </row>
    <row r="4" spans="1:7" s="524" customFormat="1" ht="15" customHeight="1" thickBot="1">
      <c r="A4" s="157"/>
      <c r="B4" s="157"/>
      <c r="C4" s="157"/>
      <c r="D4" s="1908" t="s">
        <v>194</v>
      </c>
      <c r="E4" s="1908"/>
      <c r="F4" s="1908"/>
      <c r="G4" s="1908"/>
    </row>
    <row r="5" spans="1:7" s="177" customFormat="1" ht="33.75" customHeight="1" thickBo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7" s="525" customFormat="1" ht="15" customHeight="1">
      <c r="A6" s="160">
        <v>1</v>
      </c>
      <c r="B6" s="163">
        <v>2</v>
      </c>
      <c r="C6" s="163">
        <v>3</v>
      </c>
      <c r="D6" s="164">
        <v>4</v>
      </c>
      <c r="E6" s="164">
        <v>5</v>
      </c>
      <c r="F6" s="164">
        <v>6</v>
      </c>
      <c r="G6" s="164">
        <v>7</v>
      </c>
    </row>
    <row r="7" spans="1:7" s="525" customFormat="1" ht="15" customHeight="1">
      <c r="A7" s="256"/>
      <c r="B7" s="257"/>
      <c r="C7" s="500" t="s">
        <v>196</v>
      </c>
      <c r="D7" s="258"/>
      <c r="E7" s="258"/>
      <c r="F7" s="258"/>
      <c r="G7" s="258"/>
    </row>
    <row r="8" spans="1:7" s="173" customFormat="1" ht="15" customHeight="1">
      <c r="A8" s="170" t="s">
        <v>4</v>
      </c>
      <c r="B8" s="171"/>
      <c r="C8" s="172" t="s">
        <v>762</v>
      </c>
      <c r="D8" s="242">
        <f>SUM(D9:D16)</f>
        <v>10033</v>
      </c>
      <c r="E8" s="242">
        <f t="shared" ref="E8:F8" si="0">SUM(E9:E16)</f>
        <v>11244</v>
      </c>
      <c r="F8" s="242">
        <f t="shared" si="0"/>
        <v>11244</v>
      </c>
      <c r="G8" s="242">
        <f>F8/E8*100</f>
        <v>100</v>
      </c>
    </row>
    <row r="9" spans="1:7" s="173" customFormat="1" ht="15" customHeight="1">
      <c r="A9" s="181"/>
      <c r="B9" s="175" t="s">
        <v>102</v>
      </c>
      <c r="C9" s="19" t="s">
        <v>22</v>
      </c>
      <c r="D9" s="245">
        <v>0</v>
      </c>
      <c r="E9" s="245">
        <v>0</v>
      </c>
      <c r="F9" s="245">
        <v>0</v>
      </c>
      <c r="G9" s="245"/>
    </row>
    <row r="10" spans="1:7" s="173" customFormat="1" ht="15" customHeight="1">
      <c r="A10" s="174"/>
      <c r="B10" s="175" t="s">
        <v>104</v>
      </c>
      <c r="C10" s="15" t="s">
        <v>24</v>
      </c>
      <c r="D10" s="243">
        <v>5900</v>
      </c>
      <c r="E10" s="243">
        <v>4972</v>
      </c>
      <c r="F10" s="243">
        <v>4972</v>
      </c>
      <c r="G10" s="243">
        <f>F10/E10*100</f>
        <v>100</v>
      </c>
    </row>
    <row r="11" spans="1:7" s="173" customFormat="1" ht="15" customHeight="1">
      <c r="A11" s="174"/>
      <c r="B11" s="175" t="s">
        <v>106</v>
      </c>
      <c r="C11" s="15" t="s">
        <v>26</v>
      </c>
      <c r="D11" s="243">
        <v>2000</v>
      </c>
      <c r="E11" s="243">
        <v>3827</v>
      </c>
      <c r="F11" s="243">
        <v>3827</v>
      </c>
      <c r="G11" s="243">
        <f>F11/E11*100</f>
        <v>100</v>
      </c>
    </row>
    <row r="12" spans="1:7" s="173" customFormat="1" ht="15" customHeight="1">
      <c r="A12" s="174"/>
      <c r="B12" s="175" t="s">
        <v>108</v>
      </c>
      <c r="C12" s="15" t="s">
        <v>28</v>
      </c>
      <c r="D12" s="243"/>
      <c r="E12" s="243"/>
      <c r="F12" s="243"/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/>
      <c r="E13" s="243"/>
      <c r="F13" s="243"/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4">
        <v>2133</v>
      </c>
      <c r="E14" s="244">
        <v>2424</v>
      </c>
      <c r="F14" s="244">
        <v>2424</v>
      </c>
      <c r="G14" s="244">
        <f>F14/E14*100</f>
        <v>100</v>
      </c>
    </row>
    <row r="15" spans="1:7" s="177" customFormat="1" ht="15" customHeight="1">
      <c r="A15" s="174"/>
      <c r="B15" s="175" t="s">
        <v>437</v>
      </c>
      <c r="C15" s="15" t="s">
        <v>34</v>
      </c>
      <c r="D15" s="243"/>
      <c r="E15" s="243">
        <v>21</v>
      </c>
      <c r="F15" s="243">
        <v>21</v>
      </c>
      <c r="G15" s="243"/>
    </row>
    <row r="16" spans="1:7" s="177" customFormat="1" ht="15" customHeight="1">
      <c r="A16" s="183"/>
      <c r="B16" s="184" t="s">
        <v>439</v>
      </c>
      <c r="C16" s="22" t="s">
        <v>36</v>
      </c>
      <c r="D16" s="246">
        <v>0</v>
      </c>
      <c r="E16" s="246"/>
      <c r="F16" s="246"/>
      <c r="G16" s="246"/>
    </row>
    <row r="17" spans="1:9" s="173" customFormat="1" ht="15" customHeight="1">
      <c r="A17" s="170" t="s">
        <v>5</v>
      </c>
      <c r="B17" s="171"/>
      <c r="C17" s="211" t="s">
        <v>1635</v>
      </c>
      <c r="D17" s="242">
        <f>SUM(D18:D21)</f>
        <v>11613</v>
      </c>
      <c r="E17" s="242">
        <f t="shared" ref="E17:F17" si="1">SUM(E18:E21)</f>
        <v>18603</v>
      </c>
      <c r="F17" s="242">
        <f t="shared" si="1"/>
        <v>18603</v>
      </c>
      <c r="G17" s="242">
        <f>F17/E17*100</f>
        <v>100</v>
      </c>
    </row>
    <row r="18" spans="1:9" s="177" customFormat="1" ht="15" customHeight="1">
      <c r="A18" s="174"/>
      <c r="B18" s="175" t="s">
        <v>6</v>
      </c>
      <c r="C18" s="27" t="s">
        <v>1636</v>
      </c>
      <c r="D18" s="243">
        <v>11613</v>
      </c>
      <c r="E18" s="243">
        <v>12421</v>
      </c>
      <c r="F18" s="243">
        <v>12421</v>
      </c>
      <c r="G18" s="243">
        <f>F18/E18*100</f>
        <v>100</v>
      </c>
    </row>
    <row r="19" spans="1:9" s="177" customFormat="1" ht="15" customHeight="1">
      <c r="A19" s="174"/>
      <c r="B19" s="175" t="s">
        <v>8</v>
      </c>
      <c r="C19" s="15" t="s">
        <v>1637</v>
      </c>
      <c r="D19" s="243">
        <v>0</v>
      </c>
      <c r="E19" s="243">
        <v>3842</v>
      </c>
      <c r="F19" s="243">
        <v>3842</v>
      </c>
      <c r="G19" s="243"/>
    </row>
    <row r="20" spans="1:9" s="177" customFormat="1" ht="15" customHeight="1">
      <c r="A20" s="174"/>
      <c r="B20" s="175" t="s">
        <v>10</v>
      </c>
      <c r="C20" s="15" t="s">
        <v>766</v>
      </c>
      <c r="D20" s="243">
        <v>0</v>
      </c>
      <c r="E20" s="243"/>
      <c r="F20" s="243"/>
      <c r="G20" s="243"/>
    </row>
    <row r="21" spans="1:9" s="177" customFormat="1" ht="15" customHeight="1">
      <c r="A21" s="174"/>
      <c r="B21" s="175" t="s">
        <v>12</v>
      </c>
      <c r="C21" s="15" t="s">
        <v>767</v>
      </c>
      <c r="D21" s="243">
        <v>0</v>
      </c>
      <c r="E21" s="243">
        <v>2340</v>
      </c>
      <c r="F21" s="243">
        <v>2340</v>
      </c>
      <c r="G21" s="243"/>
    </row>
    <row r="22" spans="1:9" s="177" customFormat="1" ht="15" customHeight="1">
      <c r="A22" s="170" t="s">
        <v>19</v>
      </c>
      <c r="B22" s="12"/>
      <c r="C22" s="12" t="s">
        <v>768</v>
      </c>
      <c r="D22" s="209">
        <v>0</v>
      </c>
      <c r="E22" s="209">
        <v>0</v>
      </c>
      <c r="F22" s="209">
        <v>0</v>
      </c>
      <c r="G22" s="209"/>
    </row>
    <row r="23" spans="1:9" s="173" customFormat="1" ht="15" customHeight="1">
      <c r="A23" s="170" t="s">
        <v>149</v>
      </c>
      <c r="B23" s="171"/>
      <c r="C23" s="12" t="s">
        <v>810</v>
      </c>
      <c r="D23" s="209">
        <v>0</v>
      </c>
      <c r="E23" s="209">
        <v>0</v>
      </c>
      <c r="F23" s="209">
        <v>0</v>
      </c>
      <c r="G23" s="209"/>
    </row>
    <row r="24" spans="1:9" s="173" customFormat="1" ht="15" customHeight="1">
      <c r="A24" s="170" t="s">
        <v>38</v>
      </c>
      <c r="B24" s="198"/>
      <c r="C24" s="12" t="s">
        <v>811</v>
      </c>
      <c r="D24" s="254">
        <f>+D25+D26</f>
        <v>0</v>
      </c>
      <c r="E24" s="254">
        <f t="shared" ref="E24:F24" si="2">+E25+E26</f>
        <v>236</v>
      </c>
      <c r="F24" s="254">
        <f t="shared" si="2"/>
        <v>236</v>
      </c>
      <c r="G24" s="254"/>
    </row>
    <row r="25" spans="1:9" s="173" customFormat="1" ht="15" customHeight="1">
      <c r="A25" s="181"/>
      <c r="B25" s="188" t="s">
        <v>39</v>
      </c>
      <c r="C25" s="19" t="s">
        <v>772</v>
      </c>
      <c r="D25" s="255">
        <v>0</v>
      </c>
      <c r="E25" s="255">
        <v>236</v>
      </c>
      <c r="F25" s="255">
        <v>236</v>
      </c>
      <c r="G25" s="255"/>
    </row>
    <row r="26" spans="1:9" s="173" customFormat="1" ht="15" customHeight="1">
      <c r="A26" s="191"/>
      <c r="B26" s="192" t="s">
        <v>40</v>
      </c>
      <c r="C26" s="24" t="s">
        <v>773</v>
      </c>
      <c r="D26" s="249">
        <v>0</v>
      </c>
      <c r="E26" s="249">
        <v>0</v>
      </c>
      <c r="F26" s="249">
        <v>0</v>
      </c>
      <c r="G26" s="249"/>
    </row>
    <row r="27" spans="1:9" s="177" customFormat="1" ht="15" customHeight="1">
      <c r="A27" s="201" t="s">
        <v>48</v>
      </c>
      <c r="B27" s="202"/>
      <c r="C27" s="12" t="s">
        <v>812</v>
      </c>
      <c r="D27" s="209">
        <v>75958</v>
      </c>
      <c r="E27" s="209">
        <v>78722</v>
      </c>
      <c r="F27" s="209">
        <v>78722</v>
      </c>
      <c r="G27" s="209">
        <f>F27/E27*100</f>
        <v>100</v>
      </c>
      <c r="I27" s="190">
        <f>SUM(D32-D29)</f>
        <v>0</v>
      </c>
    </row>
    <row r="28" spans="1:9" s="177" customFormat="1" ht="15" customHeight="1">
      <c r="A28" s="201"/>
      <c r="B28" s="202"/>
      <c r="C28" s="12" t="s">
        <v>813</v>
      </c>
      <c r="D28" s="209"/>
      <c r="E28" s="209"/>
      <c r="F28" s="209"/>
      <c r="G28" s="209"/>
    </row>
    <row r="29" spans="1:9" s="177" customFormat="1" ht="15" customHeight="1">
      <c r="A29" s="256" t="s">
        <v>178</v>
      </c>
      <c r="B29" s="257"/>
      <c r="C29" s="467" t="s">
        <v>814</v>
      </c>
      <c r="D29" s="258">
        <f>SUM(D8,D17,D22,D23,D24,D27)</f>
        <v>97604</v>
      </c>
      <c r="E29" s="258">
        <f t="shared" ref="E29:F29" si="3">SUM(E8,E17,E22,E23,E24,E27)</f>
        <v>108805</v>
      </c>
      <c r="F29" s="258">
        <f t="shared" si="3"/>
        <v>108805</v>
      </c>
      <c r="G29" s="258">
        <f>F29/E29*100</f>
        <v>100</v>
      </c>
      <c r="I29" s="190"/>
    </row>
    <row r="30" spans="1:9" s="177" customFormat="1" ht="15" customHeight="1">
      <c r="A30" s="449"/>
      <c r="B30" s="449"/>
      <c r="C30" s="468"/>
      <c r="D30" s="501"/>
      <c r="E30" s="501"/>
      <c r="F30" s="501"/>
      <c r="G30" s="501"/>
    </row>
    <row r="31" spans="1:9" s="525" customFormat="1" ht="15" customHeight="1">
      <c r="A31" s="256"/>
      <c r="B31" s="257"/>
      <c r="C31" s="500" t="s">
        <v>197</v>
      </c>
      <c r="D31" s="258"/>
      <c r="E31" s="258"/>
      <c r="F31" s="258"/>
      <c r="G31" s="258"/>
    </row>
    <row r="32" spans="1:9" s="173" customFormat="1" ht="15" customHeight="1">
      <c r="A32" s="170" t="s">
        <v>4</v>
      </c>
      <c r="B32" s="12"/>
      <c r="C32" s="67" t="s">
        <v>101</v>
      </c>
      <c r="D32" s="242">
        <f>SUM(D33:D37)</f>
        <v>97604</v>
      </c>
      <c r="E32" s="242">
        <f>SUM(E33:E38)</f>
        <v>104963</v>
      </c>
      <c r="F32" s="242">
        <f>SUM(F33:F38)</f>
        <v>104963</v>
      </c>
      <c r="G32" s="242">
        <f>F32/E32*100</f>
        <v>100</v>
      </c>
    </row>
    <row r="33" spans="1:7" s="177" customFormat="1" ht="15" customHeight="1">
      <c r="A33" s="193"/>
      <c r="B33" s="220" t="s">
        <v>102</v>
      </c>
      <c r="C33" s="27" t="s">
        <v>103</v>
      </c>
      <c r="D33" s="250">
        <v>28809</v>
      </c>
      <c r="E33" s="250">
        <v>28751</v>
      </c>
      <c r="F33" s="250">
        <v>28751</v>
      </c>
      <c r="G33" s="250">
        <f>F33/E33*100</f>
        <v>100</v>
      </c>
    </row>
    <row r="34" spans="1:7" s="177" customFormat="1" ht="15" customHeight="1">
      <c r="A34" s="174"/>
      <c r="B34" s="189" t="s">
        <v>104</v>
      </c>
      <c r="C34" s="15" t="s">
        <v>105</v>
      </c>
      <c r="D34" s="243">
        <v>7733</v>
      </c>
      <c r="E34" s="243">
        <v>6532</v>
      </c>
      <c r="F34" s="243">
        <v>6532</v>
      </c>
      <c r="G34" s="243">
        <f>F34/E34*100</f>
        <v>100</v>
      </c>
    </row>
    <row r="35" spans="1:7" s="177" customFormat="1" ht="15" customHeight="1">
      <c r="A35" s="174"/>
      <c r="B35" s="189" t="s">
        <v>106</v>
      </c>
      <c r="C35" s="15" t="s">
        <v>107</v>
      </c>
      <c r="D35" s="810">
        <v>61062</v>
      </c>
      <c r="E35" s="810">
        <v>69680</v>
      </c>
      <c r="F35" s="810">
        <v>69680</v>
      </c>
      <c r="G35" s="243">
        <f>F35/E35*100</f>
        <v>100</v>
      </c>
    </row>
    <row r="36" spans="1:7" s="177" customFormat="1" ht="15" customHeight="1">
      <c r="A36" s="174"/>
      <c r="B36" s="189" t="s">
        <v>108</v>
      </c>
      <c r="C36" s="15" t="s">
        <v>109</v>
      </c>
      <c r="D36" s="243"/>
      <c r="E36" s="243"/>
      <c r="F36" s="243"/>
      <c r="G36" s="243"/>
    </row>
    <row r="37" spans="1:7" s="177" customFormat="1" ht="15" customHeight="1">
      <c r="A37" s="174"/>
      <c r="B37" s="189" t="s">
        <v>110</v>
      </c>
      <c r="C37" s="15" t="s">
        <v>111</v>
      </c>
      <c r="D37" s="243">
        <v>0</v>
      </c>
      <c r="E37" s="243">
        <v>0</v>
      </c>
      <c r="F37" s="243">
        <v>0</v>
      </c>
      <c r="G37" s="243"/>
    </row>
    <row r="38" spans="1:7" s="177" customFormat="1" ht="15" customHeight="1">
      <c r="A38" s="174"/>
      <c r="B38" s="189" t="s">
        <v>276</v>
      </c>
      <c r="C38" s="15" t="s">
        <v>154</v>
      </c>
      <c r="D38" s="243">
        <v>0</v>
      </c>
      <c r="E38" s="243"/>
      <c r="F38" s="243">
        <v>0</v>
      </c>
      <c r="G38" s="243"/>
    </row>
    <row r="39" spans="1:7" s="177" customFormat="1" ht="15" customHeight="1">
      <c r="A39" s="170" t="s">
        <v>5</v>
      </c>
      <c r="B39" s="12"/>
      <c r="C39" s="67" t="s">
        <v>787</v>
      </c>
      <c r="D39" s="242">
        <f>SUM(D40:D43)</f>
        <v>0</v>
      </c>
      <c r="E39" s="242">
        <f t="shared" ref="E39:F39" si="4">SUM(E40:E43)</f>
        <v>3842</v>
      </c>
      <c r="F39" s="242">
        <f t="shared" si="4"/>
        <v>3842</v>
      </c>
      <c r="G39" s="242"/>
    </row>
    <row r="40" spans="1:7" s="173" customFormat="1" ht="15" customHeight="1">
      <c r="A40" s="193"/>
      <c r="B40" s="220" t="s">
        <v>6</v>
      </c>
      <c r="C40" s="27" t="s">
        <v>780</v>
      </c>
      <c r="D40" s="250">
        <v>0</v>
      </c>
      <c r="E40" s="250">
        <v>3842</v>
      </c>
      <c r="F40" s="250">
        <v>3842</v>
      </c>
      <c r="G40" s="250"/>
    </row>
    <row r="41" spans="1:7" s="177" customFormat="1" ht="15" customHeight="1">
      <c r="A41" s="174"/>
      <c r="B41" s="189" t="s">
        <v>8</v>
      </c>
      <c r="C41" s="15" t="s">
        <v>134</v>
      </c>
      <c r="D41" s="243">
        <v>0</v>
      </c>
      <c r="E41" s="243">
        <v>0</v>
      </c>
      <c r="F41" s="243">
        <v>0</v>
      </c>
      <c r="G41" s="243"/>
    </row>
    <row r="42" spans="1:7" s="177" customFormat="1" ht="30" customHeight="1">
      <c r="A42" s="174"/>
      <c r="B42" s="189" t="s">
        <v>14</v>
      </c>
      <c r="C42" s="15" t="s">
        <v>137</v>
      </c>
      <c r="D42" s="243">
        <v>0</v>
      </c>
      <c r="E42" s="243">
        <v>0</v>
      </c>
      <c r="F42" s="243">
        <v>0</v>
      </c>
      <c r="G42" s="243"/>
    </row>
    <row r="43" spans="1:7" s="177" customFormat="1" ht="15" customHeight="1">
      <c r="A43" s="174"/>
      <c r="B43" s="189" t="s">
        <v>18</v>
      </c>
      <c r="C43" s="15" t="s">
        <v>781</v>
      </c>
      <c r="D43" s="243">
        <v>0</v>
      </c>
      <c r="E43" s="243">
        <v>0</v>
      </c>
      <c r="F43" s="243">
        <v>0</v>
      </c>
      <c r="G43" s="243"/>
    </row>
    <row r="44" spans="1:7" s="177" customFormat="1" ht="15" customHeight="1">
      <c r="A44" s="170" t="s">
        <v>19</v>
      </c>
      <c r="B44" s="12"/>
      <c r="C44" s="67" t="s">
        <v>782</v>
      </c>
      <c r="D44" s="209">
        <v>0</v>
      </c>
      <c r="E44" s="209">
        <v>0</v>
      </c>
      <c r="F44" s="209">
        <v>0</v>
      </c>
      <c r="G44" s="209"/>
    </row>
    <row r="45" spans="1:7" s="177" customFormat="1" ht="15" customHeight="1">
      <c r="A45" s="170"/>
      <c r="B45" s="12"/>
      <c r="C45" s="67" t="s">
        <v>783</v>
      </c>
      <c r="D45" s="209"/>
      <c r="E45" s="209"/>
      <c r="F45" s="209"/>
      <c r="G45" s="209"/>
    </row>
    <row r="46" spans="1:7" s="177" customFormat="1" ht="15" customHeight="1">
      <c r="A46" s="256" t="s">
        <v>149</v>
      </c>
      <c r="B46" s="257"/>
      <c r="C46" s="467" t="s">
        <v>784</v>
      </c>
      <c r="D46" s="258">
        <f>+D32+D39+D44</f>
        <v>97604</v>
      </c>
      <c r="E46" s="258">
        <f t="shared" ref="E46" si="5">+E32+E39+E44</f>
        <v>108805</v>
      </c>
      <c r="F46" s="258">
        <f>+F32+F39+F44+F45</f>
        <v>108805</v>
      </c>
      <c r="G46" s="258">
        <f>F46/E46*100</f>
        <v>100</v>
      </c>
    </row>
    <row r="47" spans="1:7" s="177" customFormat="1" ht="15" customHeight="1">
      <c r="A47" s="230"/>
      <c r="B47" s="231"/>
      <c r="C47" s="231"/>
      <c r="D47" s="231"/>
      <c r="E47" s="231"/>
      <c r="F47" s="231"/>
      <c r="G47" s="231"/>
    </row>
    <row r="48" spans="1:7" s="177" customFormat="1" ht="15" customHeight="1">
      <c r="A48" s="232" t="s">
        <v>289</v>
      </c>
      <c r="B48" s="233"/>
      <c r="C48" s="234"/>
      <c r="D48" s="235">
        <v>14</v>
      </c>
      <c r="E48" s="235">
        <v>14</v>
      </c>
      <c r="F48" s="235">
        <v>12</v>
      </c>
      <c r="G48" s="235"/>
    </row>
    <row r="49" spans="1:7" s="177" customFormat="1" ht="15" customHeight="1">
      <c r="A49" s="232" t="s">
        <v>290</v>
      </c>
      <c r="B49" s="233"/>
      <c r="C49" s="234"/>
      <c r="D49" s="469"/>
      <c r="E49" s="469"/>
      <c r="F49" s="469"/>
      <c r="G49" s="469"/>
    </row>
  </sheetData>
  <sheetProtection selectLockedCells="1" selectUnlockedCells="1"/>
  <mergeCells count="6">
    <mergeCell ref="D1:G1"/>
    <mergeCell ref="A2:B2"/>
    <mergeCell ref="A3:B3"/>
    <mergeCell ref="A5:B5"/>
    <mergeCell ref="D2:D3"/>
    <mergeCell ref="D4:G4"/>
  </mergeCells>
  <printOptions horizontalCentered="1"/>
  <pageMargins left="0.31496062992125984" right="0.27559055118110237" top="0.51181102362204722" bottom="0.35433070866141736" header="0.51181102362204722" footer="0.15748031496062992"/>
  <pageSetup paperSize="9" scale="86" firstPageNumber="88" orientation="portrait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30" workbookViewId="0">
      <selection activeCell="L16" sqref="L16"/>
    </sheetView>
  </sheetViews>
  <sheetFormatPr defaultRowHeight="12.75"/>
  <cols>
    <col min="1" max="1" width="6.5" style="151" customWidth="1"/>
    <col min="2" max="2" width="9.6640625" style="152" customWidth="1"/>
    <col min="3" max="3" width="61.5" style="152" customWidth="1"/>
    <col min="4" max="4" width="14.6640625" style="152" customWidth="1"/>
    <col min="5" max="6" width="13.33203125" style="152" customWidth="1"/>
    <col min="7" max="7" width="9.83203125" style="152" customWidth="1"/>
    <col min="8" max="16384" width="9.33203125" style="152"/>
  </cols>
  <sheetData>
    <row r="1" spans="1:7" s="523" customFormat="1" ht="15" customHeight="1">
      <c r="A1" s="433"/>
      <c r="B1" s="434"/>
      <c r="C1" s="435"/>
      <c r="D1" s="1944" t="s">
        <v>833</v>
      </c>
      <c r="E1" s="1944"/>
      <c r="F1" s="1944"/>
      <c r="G1" s="1944"/>
    </row>
    <row r="2" spans="1:7" s="524" customFormat="1" ht="30" customHeight="1">
      <c r="A2" s="1901" t="s">
        <v>760</v>
      </c>
      <c r="B2" s="1901"/>
      <c r="C2" s="153" t="s">
        <v>842</v>
      </c>
      <c r="D2" s="1950" t="s">
        <v>1259</v>
      </c>
      <c r="E2" s="456"/>
      <c r="F2" s="456"/>
      <c r="G2" s="456"/>
    </row>
    <row r="3" spans="1:7" s="524" customFormat="1" ht="30" customHeight="1" thickBot="1">
      <c r="A3" s="1901" t="s">
        <v>258</v>
      </c>
      <c r="B3" s="1901"/>
      <c r="C3" s="156" t="s">
        <v>843</v>
      </c>
      <c r="D3" s="1951"/>
      <c r="E3" s="437"/>
      <c r="F3" s="437"/>
      <c r="G3" s="437"/>
    </row>
    <row r="4" spans="1:7" s="524" customFormat="1" ht="15" customHeight="1" thickBot="1">
      <c r="A4" s="157"/>
      <c r="B4" s="157"/>
      <c r="C4" s="157"/>
      <c r="D4" s="1908" t="s">
        <v>194</v>
      </c>
      <c r="E4" s="1908"/>
      <c r="F4" s="1908"/>
      <c r="G4" s="1908"/>
    </row>
    <row r="5" spans="1:7" s="177" customFormat="1" ht="37.5" customHeight="1" thickBo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7" s="525" customFormat="1" ht="15" customHeight="1">
      <c r="A6" s="160">
        <v>1</v>
      </c>
      <c r="B6" s="163">
        <v>2</v>
      </c>
      <c r="C6" s="163">
        <v>3</v>
      </c>
      <c r="D6" s="164">
        <v>4</v>
      </c>
      <c r="E6" s="164">
        <v>5</v>
      </c>
      <c r="F6" s="164">
        <v>6</v>
      </c>
      <c r="G6" s="164">
        <v>7</v>
      </c>
    </row>
    <row r="7" spans="1:7" s="525" customFormat="1" ht="15" customHeight="1">
      <c r="A7" s="256"/>
      <c r="B7" s="257"/>
      <c r="C7" s="500" t="s">
        <v>196</v>
      </c>
      <c r="D7" s="258"/>
      <c r="E7" s="258"/>
      <c r="F7" s="258"/>
      <c r="G7" s="258"/>
    </row>
    <row r="8" spans="1:7" s="173" customFormat="1" ht="15" customHeight="1">
      <c r="A8" s="170" t="s">
        <v>4</v>
      </c>
      <c r="B8" s="171"/>
      <c r="C8" s="172" t="s">
        <v>762</v>
      </c>
      <c r="D8" s="242">
        <f>SUM(D9:D16)</f>
        <v>685</v>
      </c>
      <c r="E8" s="242">
        <f>SUM(E9:E16)</f>
        <v>876</v>
      </c>
      <c r="F8" s="242">
        <f>SUM(F9:F16)</f>
        <v>876</v>
      </c>
      <c r="G8" s="242">
        <f>F8/E8*100</f>
        <v>100</v>
      </c>
    </row>
    <row r="9" spans="1:7" s="173" customFormat="1" ht="15" customHeight="1">
      <c r="A9" s="181"/>
      <c r="B9" s="175" t="s">
        <v>102</v>
      </c>
      <c r="C9" s="19" t="s">
        <v>22</v>
      </c>
      <c r="D9" s="245">
        <v>0</v>
      </c>
      <c r="E9" s="245">
        <v>0</v>
      </c>
      <c r="F9" s="245">
        <v>0</v>
      </c>
      <c r="G9" s="245"/>
    </row>
    <row r="10" spans="1:7" s="173" customFormat="1" ht="15" customHeight="1">
      <c r="A10" s="174"/>
      <c r="B10" s="175" t="s">
        <v>104</v>
      </c>
      <c r="C10" s="15" t="s">
        <v>24</v>
      </c>
      <c r="D10" s="243">
        <v>485</v>
      </c>
      <c r="E10" s="243">
        <v>471</v>
      </c>
      <c r="F10" s="243">
        <v>471</v>
      </c>
      <c r="G10" s="243">
        <f>F10/E10*100</f>
        <v>100</v>
      </c>
    </row>
    <row r="11" spans="1:7" s="173" customFormat="1" ht="15" customHeight="1">
      <c r="A11" s="174"/>
      <c r="B11" s="175" t="s">
        <v>106</v>
      </c>
      <c r="C11" s="15" t="s">
        <v>26</v>
      </c>
      <c r="D11" s="243">
        <v>200</v>
      </c>
      <c r="E11" s="243">
        <v>404</v>
      </c>
      <c r="F11" s="243">
        <v>404</v>
      </c>
      <c r="G11" s="243">
        <f>F11/E11*100</f>
        <v>100</v>
      </c>
    </row>
    <row r="12" spans="1:7" s="173" customFormat="1" ht="15" customHeight="1">
      <c r="A12" s="174"/>
      <c r="B12" s="175" t="s">
        <v>108</v>
      </c>
      <c r="C12" s="15" t="s">
        <v>28</v>
      </c>
      <c r="D12" s="243"/>
      <c r="E12" s="243"/>
      <c r="F12" s="243"/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/>
      <c r="E13" s="243"/>
      <c r="F13" s="243"/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4"/>
      <c r="E14" s="244"/>
      <c r="F14" s="244"/>
      <c r="G14" s="244"/>
    </row>
    <row r="15" spans="1:7" s="177" customFormat="1" ht="15" customHeight="1">
      <c r="A15" s="174"/>
      <c r="B15" s="175" t="s">
        <v>437</v>
      </c>
      <c r="C15" s="15" t="s">
        <v>34</v>
      </c>
      <c r="D15" s="243"/>
      <c r="E15" s="243">
        <v>1</v>
      </c>
      <c r="F15" s="243">
        <v>1</v>
      </c>
      <c r="G15" s="243"/>
    </row>
    <row r="16" spans="1:7" s="177" customFormat="1" ht="15" customHeight="1">
      <c r="A16" s="183"/>
      <c r="B16" s="184" t="s">
        <v>439</v>
      </c>
      <c r="C16" s="22" t="s">
        <v>36</v>
      </c>
      <c r="D16" s="246">
        <v>0</v>
      </c>
      <c r="E16" s="246">
        <v>0</v>
      </c>
      <c r="F16" s="246">
        <v>0</v>
      </c>
      <c r="G16" s="246"/>
    </row>
    <row r="17" spans="1:9" s="173" customFormat="1" ht="15" customHeight="1">
      <c r="A17" s="170" t="s">
        <v>5</v>
      </c>
      <c r="B17" s="171"/>
      <c r="C17" s="211" t="s">
        <v>1635</v>
      </c>
      <c r="D17" s="242">
        <f>SUM(D18:D21)</f>
        <v>11613</v>
      </c>
      <c r="E17" s="242">
        <f t="shared" ref="E17:F17" si="0">SUM(E18:E21)</f>
        <v>13029</v>
      </c>
      <c r="F17" s="242">
        <f t="shared" si="0"/>
        <v>13029</v>
      </c>
      <c r="G17" s="242">
        <f>F17/E17*100</f>
        <v>100</v>
      </c>
    </row>
    <row r="18" spans="1:9" s="177" customFormat="1" ht="15" customHeight="1">
      <c r="A18" s="174"/>
      <c r="B18" s="175" t="s">
        <v>6</v>
      </c>
      <c r="C18" s="27" t="s">
        <v>1636</v>
      </c>
      <c r="D18" s="243">
        <v>11613</v>
      </c>
      <c r="E18" s="243">
        <v>12184</v>
      </c>
      <c r="F18" s="243">
        <v>12184</v>
      </c>
      <c r="G18" s="243">
        <f>F18/E18*100</f>
        <v>100</v>
      </c>
    </row>
    <row r="19" spans="1:9" s="177" customFormat="1" ht="15" customHeight="1">
      <c r="A19" s="174"/>
      <c r="B19" s="175" t="s">
        <v>8</v>
      </c>
      <c r="C19" s="15" t="s">
        <v>1637</v>
      </c>
      <c r="D19" s="243">
        <v>0</v>
      </c>
      <c r="E19" s="243">
        <v>816</v>
      </c>
      <c r="F19" s="243">
        <v>816</v>
      </c>
      <c r="G19" s="243"/>
    </row>
    <row r="20" spans="1:9" s="177" customFormat="1" ht="15" customHeight="1">
      <c r="A20" s="174"/>
      <c r="B20" s="175" t="s">
        <v>10</v>
      </c>
      <c r="C20" s="15" t="s">
        <v>766</v>
      </c>
      <c r="D20" s="243">
        <v>0</v>
      </c>
      <c r="E20" s="243">
        <v>0</v>
      </c>
      <c r="F20" s="243">
        <v>0</v>
      </c>
      <c r="G20" s="243"/>
    </row>
    <row r="21" spans="1:9" s="177" customFormat="1" ht="15" customHeight="1">
      <c r="A21" s="174"/>
      <c r="B21" s="175" t="s">
        <v>12</v>
      </c>
      <c r="C21" s="15" t="s">
        <v>767</v>
      </c>
      <c r="D21" s="243">
        <v>0</v>
      </c>
      <c r="E21" s="243">
        <v>29</v>
      </c>
      <c r="F21" s="243">
        <v>29</v>
      </c>
      <c r="G21" s="243"/>
    </row>
    <row r="22" spans="1:9" s="177" customFormat="1" ht="15" customHeight="1">
      <c r="A22" s="170" t="s">
        <v>19</v>
      </c>
      <c r="B22" s="12"/>
      <c r="C22" s="12" t="s">
        <v>768</v>
      </c>
      <c r="D22" s="209">
        <v>0</v>
      </c>
      <c r="E22" s="209">
        <v>0</v>
      </c>
      <c r="F22" s="209">
        <v>0</v>
      </c>
      <c r="G22" s="209"/>
    </row>
    <row r="23" spans="1:9" s="173" customFormat="1" ht="15" customHeight="1">
      <c r="A23" s="170" t="s">
        <v>149</v>
      </c>
      <c r="B23" s="171"/>
      <c r="C23" s="12" t="s">
        <v>810</v>
      </c>
      <c r="D23" s="209">
        <v>0</v>
      </c>
      <c r="E23" s="209">
        <v>0</v>
      </c>
      <c r="F23" s="209">
        <v>0</v>
      </c>
      <c r="G23" s="209"/>
    </row>
    <row r="24" spans="1:9" s="173" customFormat="1" ht="15" customHeight="1">
      <c r="A24" s="170" t="s">
        <v>38</v>
      </c>
      <c r="B24" s="198"/>
      <c r="C24" s="12" t="s">
        <v>811</v>
      </c>
      <c r="D24" s="254">
        <f>+D25+D26</f>
        <v>0</v>
      </c>
      <c r="E24" s="254">
        <f t="shared" ref="E24:F24" si="1">+E25+E26</f>
        <v>67</v>
      </c>
      <c r="F24" s="254">
        <f t="shared" si="1"/>
        <v>67</v>
      </c>
      <c r="G24" s="254"/>
    </row>
    <row r="25" spans="1:9" s="173" customFormat="1" ht="15" customHeight="1">
      <c r="A25" s="181"/>
      <c r="B25" s="188" t="s">
        <v>39</v>
      </c>
      <c r="C25" s="19" t="s">
        <v>772</v>
      </c>
      <c r="D25" s="255">
        <v>0</v>
      </c>
      <c r="E25" s="255">
        <v>67</v>
      </c>
      <c r="F25" s="255">
        <v>67</v>
      </c>
      <c r="G25" s="255"/>
    </row>
    <row r="26" spans="1:9" s="173" customFormat="1" ht="15" customHeight="1">
      <c r="A26" s="191"/>
      <c r="B26" s="192" t="s">
        <v>40</v>
      </c>
      <c r="C26" s="24" t="s">
        <v>773</v>
      </c>
      <c r="D26" s="249">
        <v>0</v>
      </c>
      <c r="E26" s="249">
        <v>0</v>
      </c>
      <c r="F26" s="249">
        <v>0</v>
      </c>
      <c r="G26" s="249"/>
    </row>
    <row r="27" spans="1:9" s="177" customFormat="1" ht="15" customHeight="1">
      <c r="A27" s="201" t="s">
        <v>48</v>
      </c>
      <c r="B27" s="202"/>
      <c r="C27" s="12" t="s">
        <v>812</v>
      </c>
      <c r="D27" s="209">
        <v>19426</v>
      </c>
      <c r="E27" s="209">
        <v>14230</v>
      </c>
      <c r="F27" s="209">
        <v>14230</v>
      </c>
      <c r="G27" s="209">
        <f>F27/E27*100</f>
        <v>100</v>
      </c>
      <c r="I27" s="190">
        <f>SUM(D32-D29)</f>
        <v>0</v>
      </c>
    </row>
    <row r="28" spans="1:9" s="177" customFormat="1" ht="15" customHeight="1">
      <c r="A28" s="201"/>
      <c r="B28" s="202"/>
      <c r="C28" s="12" t="s">
        <v>813</v>
      </c>
      <c r="D28" s="209"/>
      <c r="E28" s="209"/>
      <c r="F28" s="209"/>
      <c r="G28" s="209"/>
    </row>
    <row r="29" spans="1:9" s="177" customFormat="1" ht="15" customHeight="1">
      <c r="A29" s="256" t="s">
        <v>178</v>
      </c>
      <c r="B29" s="257"/>
      <c r="C29" s="467" t="s">
        <v>814</v>
      </c>
      <c r="D29" s="258">
        <f>SUM(D8,D17,D22,D23,D24,D27)</f>
        <v>31724</v>
      </c>
      <c r="E29" s="258">
        <f t="shared" ref="E29:F29" si="2">SUM(E8,E17,E22,E23,E24,E27)</f>
        <v>28202</v>
      </c>
      <c r="F29" s="258">
        <f t="shared" si="2"/>
        <v>28202</v>
      </c>
      <c r="G29" s="258">
        <f>F29/E29*100</f>
        <v>100</v>
      </c>
      <c r="I29" s="190"/>
    </row>
    <row r="30" spans="1:9" s="177" customFormat="1" ht="15" customHeight="1">
      <c r="A30" s="449"/>
      <c r="B30" s="449"/>
      <c r="C30" s="468"/>
      <c r="D30" s="501"/>
      <c r="E30" s="501"/>
      <c r="F30" s="501"/>
      <c r="G30" s="501"/>
    </row>
    <row r="31" spans="1:9" s="525" customFormat="1" ht="15" customHeight="1">
      <c r="A31" s="256"/>
      <c r="B31" s="257"/>
      <c r="C31" s="500" t="s">
        <v>197</v>
      </c>
      <c r="D31" s="258"/>
      <c r="E31" s="258"/>
      <c r="F31" s="258"/>
      <c r="G31" s="258"/>
    </row>
    <row r="32" spans="1:9" s="173" customFormat="1" ht="15" customHeight="1">
      <c r="A32" s="170" t="s">
        <v>4</v>
      </c>
      <c r="B32" s="12"/>
      <c r="C32" s="67" t="s">
        <v>101</v>
      </c>
      <c r="D32" s="242">
        <f>SUM(D33:D37)</f>
        <v>31724</v>
      </c>
      <c r="E32" s="242">
        <f t="shared" ref="E32:F32" si="3">SUM(E33:E37)</f>
        <v>27386</v>
      </c>
      <c r="F32" s="242">
        <f t="shared" si="3"/>
        <v>27386</v>
      </c>
      <c r="G32" s="242">
        <f>F32/E32*100</f>
        <v>100</v>
      </c>
    </row>
    <row r="33" spans="1:7" s="177" customFormat="1" ht="15" customHeight="1">
      <c r="A33" s="193"/>
      <c r="B33" s="220" t="s">
        <v>102</v>
      </c>
      <c r="C33" s="27" t="s">
        <v>103</v>
      </c>
      <c r="D33" s="250">
        <v>14740</v>
      </c>
      <c r="E33" s="250">
        <v>14988</v>
      </c>
      <c r="F33" s="250">
        <v>14988</v>
      </c>
      <c r="G33" s="250">
        <f>F33/E33*100</f>
        <v>100</v>
      </c>
    </row>
    <row r="34" spans="1:7" s="177" customFormat="1" ht="15" customHeight="1">
      <c r="A34" s="174"/>
      <c r="B34" s="189" t="s">
        <v>104</v>
      </c>
      <c r="C34" s="15" t="s">
        <v>105</v>
      </c>
      <c r="D34" s="243">
        <v>3918</v>
      </c>
      <c r="E34" s="243">
        <v>3587</v>
      </c>
      <c r="F34" s="243">
        <v>3587</v>
      </c>
      <c r="G34" s="243">
        <f>F34/E34*100</f>
        <v>100</v>
      </c>
    </row>
    <row r="35" spans="1:7" s="177" customFormat="1" ht="15" customHeight="1">
      <c r="A35" s="174"/>
      <c r="B35" s="189" t="s">
        <v>106</v>
      </c>
      <c r="C35" s="15" t="s">
        <v>107</v>
      </c>
      <c r="D35" s="810">
        <v>13066</v>
      </c>
      <c r="E35" s="810">
        <v>8811</v>
      </c>
      <c r="F35" s="810">
        <v>8811</v>
      </c>
      <c r="G35" s="243">
        <f>F35/E35*100</f>
        <v>100</v>
      </c>
    </row>
    <row r="36" spans="1:7" s="177" customFormat="1" ht="15" customHeight="1">
      <c r="A36" s="174"/>
      <c r="B36" s="189" t="s">
        <v>108</v>
      </c>
      <c r="C36" s="15" t="s">
        <v>109</v>
      </c>
      <c r="D36" s="243"/>
      <c r="E36" s="243"/>
      <c r="F36" s="243"/>
      <c r="G36" s="243"/>
    </row>
    <row r="37" spans="1:7" s="177" customFormat="1" ht="15" customHeight="1">
      <c r="A37" s="174"/>
      <c r="B37" s="189" t="s">
        <v>110</v>
      </c>
      <c r="C37" s="15" t="s">
        <v>111</v>
      </c>
      <c r="D37" s="243"/>
      <c r="E37" s="243"/>
      <c r="F37" s="243"/>
      <c r="G37" s="243"/>
    </row>
    <row r="38" spans="1:7" s="177" customFormat="1" ht="15" customHeight="1">
      <c r="A38" s="170" t="s">
        <v>5</v>
      </c>
      <c r="B38" s="12"/>
      <c r="C38" s="67" t="s">
        <v>787</v>
      </c>
      <c r="D38" s="242">
        <f>SUM(D39:D42)</f>
        <v>0</v>
      </c>
      <c r="E38" s="242">
        <f t="shared" ref="E38:F38" si="4">SUM(E39:E42)</f>
        <v>816</v>
      </c>
      <c r="F38" s="242">
        <f t="shared" si="4"/>
        <v>816</v>
      </c>
      <c r="G38" s="242"/>
    </row>
    <row r="39" spans="1:7" s="173" customFormat="1" ht="15" customHeight="1">
      <c r="A39" s="193"/>
      <c r="B39" s="220" t="s">
        <v>6</v>
      </c>
      <c r="C39" s="27" t="s">
        <v>780</v>
      </c>
      <c r="D39" s="250">
        <v>0</v>
      </c>
      <c r="E39" s="250">
        <v>816</v>
      </c>
      <c r="F39" s="250">
        <v>816</v>
      </c>
      <c r="G39" s="250"/>
    </row>
    <row r="40" spans="1:7" s="177" customFormat="1" ht="15" customHeight="1">
      <c r="A40" s="174"/>
      <c r="B40" s="189" t="s">
        <v>8</v>
      </c>
      <c r="C40" s="15" t="s">
        <v>134</v>
      </c>
      <c r="D40" s="243">
        <v>0</v>
      </c>
      <c r="E40" s="243">
        <v>0</v>
      </c>
      <c r="F40" s="243">
        <v>0</v>
      </c>
      <c r="G40" s="243"/>
    </row>
    <row r="41" spans="1:7" s="177" customFormat="1" ht="30" customHeight="1">
      <c r="A41" s="174"/>
      <c r="B41" s="189" t="s">
        <v>14</v>
      </c>
      <c r="C41" s="15" t="s">
        <v>137</v>
      </c>
      <c r="D41" s="243">
        <v>0</v>
      </c>
      <c r="E41" s="243">
        <v>0</v>
      </c>
      <c r="F41" s="243">
        <v>0</v>
      </c>
      <c r="G41" s="243"/>
    </row>
    <row r="42" spans="1:7" s="177" customFormat="1" ht="15" customHeight="1">
      <c r="A42" s="174"/>
      <c r="B42" s="189" t="s">
        <v>18</v>
      </c>
      <c r="C42" s="15" t="s">
        <v>781</v>
      </c>
      <c r="D42" s="243">
        <v>0</v>
      </c>
      <c r="E42" s="243">
        <v>0</v>
      </c>
      <c r="F42" s="243">
        <v>0</v>
      </c>
      <c r="G42" s="243"/>
    </row>
    <row r="43" spans="1:7" s="177" customFormat="1" ht="15" customHeight="1">
      <c r="A43" s="170" t="s">
        <v>19</v>
      </c>
      <c r="B43" s="12"/>
      <c r="C43" s="67" t="s">
        <v>782</v>
      </c>
      <c r="D43" s="209">
        <v>0</v>
      </c>
      <c r="E43" s="209">
        <v>0</v>
      </c>
      <c r="F43" s="209">
        <v>0</v>
      </c>
      <c r="G43" s="209"/>
    </row>
    <row r="44" spans="1:7" s="177" customFormat="1" ht="15" customHeight="1">
      <c r="A44" s="170"/>
      <c r="B44" s="12"/>
      <c r="C44" s="67" t="s">
        <v>783</v>
      </c>
      <c r="D44" s="209"/>
      <c r="E44" s="209"/>
      <c r="F44" s="209">
        <v>0</v>
      </c>
      <c r="G44" s="209"/>
    </row>
    <row r="45" spans="1:7" s="177" customFormat="1" ht="15" customHeight="1">
      <c r="A45" s="256" t="s">
        <v>149</v>
      </c>
      <c r="B45" s="257"/>
      <c r="C45" s="467" t="s">
        <v>784</v>
      </c>
      <c r="D45" s="258">
        <f>+D32+D38+D43</f>
        <v>31724</v>
      </c>
      <c r="E45" s="258">
        <f t="shared" ref="E45" si="5">+E32+E38+E43</f>
        <v>28202</v>
      </c>
      <c r="F45" s="258">
        <f>+F32+F38+F43+F44</f>
        <v>28202</v>
      </c>
      <c r="G45" s="258">
        <f>F45/E45*100</f>
        <v>100</v>
      </c>
    </row>
    <row r="46" spans="1:7" s="177" customFormat="1" ht="15" customHeight="1">
      <c r="A46" s="230"/>
      <c r="B46" s="231"/>
      <c r="C46" s="231"/>
      <c r="D46" s="231"/>
      <c r="E46" s="231"/>
      <c r="F46" s="231"/>
      <c r="G46" s="231"/>
    </row>
    <row r="47" spans="1:7" s="177" customFormat="1" ht="15" customHeight="1">
      <c r="A47" s="232" t="s">
        <v>289</v>
      </c>
      <c r="B47" s="233"/>
      <c r="C47" s="234"/>
      <c r="D47" s="235">
        <v>6</v>
      </c>
      <c r="E47" s="235">
        <v>6</v>
      </c>
      <c r="F47" s="235">
        <v>6</v>
      </c>
      <c r="G47" s="235"/>
    </row>
    <row r="48" spans="1:7" s="177" customFormat="1" ht="15" customHeight="1">
      <c r="A48" s="232" t="s">
        <v>290</v>
      </c>
      <c r="B48" s="233"/>
      <c r="C48" s="234"/>
      <c r="D48" s="469"/>
      <c r="E48" s="469"/>
      <c r="F48" s="469"/>
      <c r="G48" s="469"/>
    </row>
  </sheetData>
  <sheetProtection selectLockedCells="1" selectUnlockedCells="1"/>
  <mergeCells count="6">
    <mergeCell ref="D1:G1"/>
    <mergeCell ref="A2:B2"/>
    <mergeCell ref="A3:B3"/>
    <mergeCell ref="A5:B5"/>
    <mergeCell ref="D2:D3"/>
    <mergeCell ref="D4:G4"/>
  </mergeCells>
  <printOptions horizontalCentered="1"/>
  <pageMargins left="0.27559055118110237" right="0.23622047244094491" top="0.35433070866141736" bottom="0.43307086614173229" header="0.15748031496062992" footer="0.15748031496062992"/>
  <pageSetup paperSize="9" scale="82" firstPageNumber="89" orientation="portrait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view="pageBreakPreview" topLeftCell="A4" zoomScaleSheetLayoutView="100" workbookViewId="0">
      <selection activeCell="D14" sqref="D14"/>
    </sheetView>
  </sheetViews>
  <sheetFormatPr defaultRowHeight="12.75"/>
  <cols>
    <col min="1" max="1" width="6.1640625" style="86" customWidth="1"/>
    <col min="2" max="2" width="49.5" style="87" customWidth="1"/>
    <col min="3" max="3" width="12.5" style="86" customWidth="1"/>
    <col min="4" max="4" width="14" style="86" customWidth="1"/>
    <col min="5" max="5" width="12.5" style="86" customWidth="1"/>
    <col min="6" max="6" width="46.5" style="86" customWidth="1"/>
    <col min="7" max="7" width="12.5" style="86" customWidth="1"/>
    <col min="8" max="8" width="14.33203125" style="86" customWidth="1"/>
    <col min="9" max="9" width="12.5" style="86" customWidth="1"/>
    <col min="10" max="10" width="9.33203125" style="86"/>
    <col min="11" max="11" width="9.1640625" style="86" customWidth="1"/>
    <col min="12" max="16384" width="9.33203125" style="86"/>
  </cols>
  <sheetData>
    <row r="1" spans="1:10" ht="37.5" customHeight="1">
      <c r="A1" s="1809" t="s">
        <v>193</v>
      </c>
      <c r="B1" s="1809"/>
      <c r="C1" s="1809"/>
      <c r="D1" s="1809"/>
      <c r="E1" s="1809"/>
      <c r="F1" s="1809"/>
      <c r="G1" s="1809"/>
      <c r="H1" s="1809"/>
      <c r="I1" s="1809"/>
      <c r="J1" s="1806"/>
    </row>
    <row r="2" spans="1:10" ht="16.5" customHeight="1" thickBot="1">
      <c r="G2" s="1807" t="s">
        <v>194</v>
      </c>
      <c r="H2" s="1807"/>
      <c r="I2" s="1807"/>
      <c r="J2" s="1806"/>
    </row>
    <row r="3" spans="1:10" ht="18" customHeight="1" thickBot="1">
      <c r="A3" s="1808" t="s">
        <v>195</v>
      </c>
      <c r="B3" s="1808" t="s">
        <v>196</v>
      </c>
      <c r="C3" s="1808"/>
      <c r="D3" s="1808"/>
      <c r="E3" s="1808"/>
      <c r="F3" s="1810" t="s">
        <v>197</v>
      </c>
      <c r="G3" s="1811"/>
      <c r="H3" s="949"/>
      <c r="I3" s="950"/>
      <c r="J3" s="1806"/>
    </row>
    <row r="4" spans="1:10" s="92" customFormat="1" ht="45.75" customHeight="1" thickBot="1">
      <c r="A4" s="1808"/>
      <c r="B4" s="89" t="s">
        <v>198</v>
      </c>
      <c r="C4" s="90" t="s">
        <v>1267</v>
      </c>
      <c r="D4" s="90" t="s">
        <v>1809</v>
      </c>
      <c r="E4" s="90" t="s">
        <v>1810</v>
      </c>
      <c r="F4" s="89" t="s">
        <v>198</v>
      </c>
      <c r="G4" s="90" t="s">
        <v>1267</v>
      </c>
      <c r="H4" s="90" t="s">
        <v>1809</v>
      </c>
      <c r="I4" s="90" t="s">
        <v>1810</v>
      </c>
      <c r="J4" s="1806"/>
    </row>
    <row r="5" spans="1:10" s="93" customFormat="1" ht="15" customHeight="1">
      <c r="A5" s="88">
        <v>1</v>
      </c>
      <c r="B5" s="89">
        <v>2</v>
      </c>
      <c r="C5" s="90" t="s">
        <v>19</v>
      </c>
      <c r="D5" s="90">
        <v>4</v>
      </c>
      <c r="E5" s="90">
        <v>5</v>
      </c>
      <c r="F5" s="89">
        <v>6</v>
      </c>
      <c r="G5" s="91">
        <v>7</v>
      </c>
      <c r="H5" s="91">
        <v>7</v>
      </c>
      <c r="I5" s="91">
        <v>7</v>
      </c>
      <c r="J5" s="1806"/>
    </row>
    <row r="6" spans="1:10" ht="15" customHeight="1">
      <c r="A6" s="94" t="s">
        <v>4</v>
      </c>
      <c r="B6" s="95" t="s">
        <v>1409</v>
      </c>
      <c r="C6" s="96">
        <f>SUM('2. sz. mell '!D17)</f>
        <v>315822</v>
      </c>
      <c r="D6" s="96">
        <f>SUM('2. sz. mell '!E17)</f>
        <v>409773</v>
      </c>
      <c r="E6" s="96">
        <f>SUM('2. sz. mell '!F17)</f>
        <v>414085</v>
      </c>
      <c r="F6" s="95" t="s">
        <v>199</v>
      </c>
      <c r="G6" s="97">
        <f>SUM('2. sz. mell '!D81)</f>
        <v>904670</v>
      </c>
      <c r="H6" s="97">
        <f>SUM('2. sz. mell '!E81)</f>
        <v>1025986</v>
      </c>
      <c r="I6" s="97">
        <f>SUM('2. sz. mell '!F81)</f>
        <v>995355</v>
      </c>
      <c r="J6" s="1806"/>
    </row>
    <row r="7" spans="1:10" ht="30" customHeight="1">
      <c r="A7" s="98" t="s">
        <v>5</v>
      </c>
      <c r="B7" s="99" t="s">
        <v>72</v>
      </c>
      <c r="C7" s="100"/>
      <c r="D7" s="100"/>
      <c r="E7" s="100"/>
      <c r="F7" s="99" t="s">
        <v>1524</v>
      </c>
      <c r="G7" s="97">
        <f>SUM('2. sz. mell '!D82)</f>
        <v>250657</v>
      </c>
      <c r="H7" s="97">
        <f>SUM('2. sz. mell '!E82)</f>
        <v>252063</v>
      </c>
      <c r="I7" s="97">
        <f>SUM('2. sz. mell '!F82)</f>
        <v>244906</v>
      </c>
      <c r="J7" s="1806"/>
    </row>
    <row r="8" spans="1:10" ht="15" customHeight="1">
      <c r="A8" s="98" t="s">
        <v>19</v>
      </c>
      <c r="B8" s="99" t="s">
        <v>200</v>
      </c>
      <c r="C8" s="100">
        <f>SUM('2. sz. mell '!D8)</f>
        <v>1625000</v>
      </c>
      <c r="D8" s="100">
        <f>SUM('2. sz. mell '!E8)</f>
        <v>1681447</v>
      </c>
      <c r="E8" s="100">
        <f>SUM('2. sz. mell '!F8)</f>
        <v>1801946</v>
      </c>
      <c r="F8" s="99" t="s">
        <v>201</v>
      </c>
      <c r="G8" s="97">
        <f>SUM('2. sz. mell '!D83)</f>
        <v>1364695</v>
      </c>
      <c r="H8" s="97">
        <f>SUM('2. sz. mell '!E83)</f>
        <v>1602368</v>
      </c>
      <c r="I8" s="97">
        <f>SUM('2. sz. mell '!F83)</f>
        <v>1478797</v>
      </c>
      <c r="J8" s="1806"/>
    </row>
    <row r="9" spans="1:10" ht="28.5" customHeight="1">
      <c r="A9" s="98" t="s">
        <v>149</v>
      </c>
      <c r="B9" s="101" t="s">
        <v>1522</v>
      </c>
      <c r="C9" s="100">
        <f>SUM('2. sz. mell '!D57)</f>
        <v>526670</v>
      </c>
      <c r="D9" s="100">
        <f>SUM('2. sz. mell '!E57)</f>
        <v>636755</v>
      </c>
      <c r="E9" s="100">
        <f>SUM('2. sz. mell '!F57)</f>
        <v>636755</v>
      </c>
      <c r="F9" s="15" t="s">
        <v>109</v>
      </c>
      <c r="G9" s="97">
        <f>SUM('2. sz. mell '!D85)</f>
        <v>40000</v>
      </c>
      <c r="H9" s="97">
        <f>SUM('2. sz. mell '!E85)</f>
        <v>96585</v>
      </c>
      <c r="I9" s="97">
        <f>SUM('2. sz. mell '!F85)</f>
        <v>94580</v>
      </c>
      <c r="J9" s="1806"/>
    </row>
    <row r="10" spans="1:10" ht="15" customHeight="1">
      <c r="A10" s="98" t="s">
        <v>38</v>
      </c>
      <c r="B10" s="99" t="s">
        <v>1523</v>
      </c>
      <c r="C10" s="100">
        <f>SUM('2. sz. mell '!D28)</f>
        <v>447504</v>
      </c>
      <c r="D10" s="100">
        <f>SUM('2. sz. mell '!E28)</f>
        <v>488573</v>
      </c>
      <c r="E10" s="100">
        <f>SUM('2. sz. mell '!F28)</f>
        <v>488812</v>
      </c>
      <c r="F10" s="99" t="s">
        <v>111</v>
      </c>
      <c r="G10" s="102">
        <f>SUM('2. sz. mell '!D84)</f>
        <v>143632</v>
      </c>
      <c r="H10" s="102">
        <f>SUM('2. sz. mell '!E84)</f>
        <v>324378</v>
      </c>
      <c r="I10" s="102">
        <f>SUM('2. sz. mell '!F84)</f>
        <v>269677</v>
      </c>
      <c r="J10" s="1806"/>
    </row>
    <row r="11" spans="1:10" ht="15" customHeight="1">
      <c r="A11" s="98" t="s">
        <v>48</v>
      </c>
      <c r="B11" s="99" t="s">
        <v>57</v>
      </c>
      <c r="C11" s="103"/>
      <c r="D11" s="103">
        <f>SUM('2. sz. mell '!E43)</f>
        <v>34548</v>
      </c>
      <c r="E11" s="103">
        <f>SUM('2. sz. mell '!F43)</f>
        <v>34628</v>
      </c>
      <c r="F11" s="99" t="s">
        <v>202</v>
      </c>
      <c r="G11" s="102">
        <f>SUM('2. sz. mell '!D100+'2. sz. mell '!D99)</f>
        <v>163605</v>
      </c>
      <c r="H11" s="102">
        <f>SUM('2. sz. mell '!E100+'2. sz. mell '!E99)</f>
        <v>83746</v>
      </c>
      <c r="I11" s="102">
        <f>SUM('2. sz. mell '!F100+'2. sz. mell '!F99)</f>
        <v>0</v>
      </c>
      <c r="J11" s="1806"/>
    </row>
    <row r="12" spans="1:10" ht="30.75" customHeight="1">
      <c r="A12" s="98" t="s">
        <v>178</v>
      </c>
      <c r="B12" s="99" t="s">
        <v>203</v>
      </c>
      <c r="C12" s="103"/>
      <c r="D12" s="103"/>
      <c r="E12" s="103"/>
      <c r="F12" s="99"/>
      <c r="G12" s="102"/>
      <c r="H12" s="102">
        <f>SUM('2. sz. mell '!E102)</f>
        <v>0</v>
      </c>
      <c r="I12" s="102">
        <f>SUM('2. sz. mell '!F102)</f>
        <v>0</v>
      </c>
      <c r="J12" s="1806"/>
    </row>
    <row r="13" spans="1:10" ht="15" customHeight="1">
      <c r="A13" s="98" t="s">
        <v>74</v>
      </c>
      <c r="B13" s="99" t="s">
        <v>204</v>
      </c>
      <c r="C13" s="103"/>
      <c r="D13" s="103"/>
      <c r="E13" s="103"/>
      <c r="F13" s="99"/>
      <c r="G13" s="102"/>
      <c r="H13" s="102"/>
      <c r="I13" s="102"/>
      <c r="J13" s="1806"/>
    </row>
    <row r="14" spans="1:10" ht="15" customHeight="1">
      <c r="A14" s="98" t="s">
        <v>205</v>
      </c>
      <c r="B14" s="99" t="s">
        <v>206</v>
      </c>
      <c r="C14" s="103"/>
      <c r="D14" s="103"/>
      <c r="E14" s="103"/>
      <c r="F14" s="99"/>
      <c r="G14" s="102"/>
      <c r="H14" s="102"/>
      <c r="I14" s="102"/>
      <c r="J14" s="1806"/>
    </row>
    <row r="15" spans="1:10" ht="15" customHeight="1" thickBot="1">
      <c r="A15" s="98" t="s">
        <v>85</v>
      </c>
      <c r="B15" s="104"/>
      <c r="C15" s="105"/>
      <c r="D15" s="105"/>
      <c r="E15" s="105"/>
      <c r="F15" s="99" t="s">
        <v>1218</v>
      </c>
      <c r="G15" s="106"/>
      <c r="H15" s="106"/>
      <c r="I15" s="106"/>
      <c r="J15" s="1806"/>
    </row>
    <row r="16" spans="1:10" ht="15" customHeight="1">
      <c r="A16" s="107" t="s">
        <v>98</v>
      </c>
      <c r="B16" s="108" t="s">
        <v>207</v>
      </c>
      <c r="C16" s="109">
        <f>SUM(C6:C15)</f>
        <v>2914996</v>
      </c>
      <c r="D16" s="109">
        <f t="shared" ref="D16:E16" si="0">SUM(D6:D15)</f>
        <v>3251096</v>
      </c>
      <c r="E16" s="109">
        <f t="shared" si="0"/>
        <v>3376226</v>
      </c>
      <c r="F16" s="110" t="s">
        <v>208</v>
      </c>
      <c r="G16" s="111">
        <f>SUM(G6:G15)</f>
        <v>2867259</v>
      </c>
      <c r="H16" s="111">
        <f t="shared" ref="H16:I16" si="1">SUM(H6:H15)</f>
        <v>3385126</v>
      </c>
      <c r="I16" s="111">
        <f t="shared" si="1"/>
        <v>3083315</v>
      </c>
      <c r="J16" s="1806"/>
    </row>
    <row r="17" spans="1:10" ht="15" customHeight="1">
      <c r="A17" s="112" t="s">
        <v>99</v>
      </c>
      <c r="B17" s="113" t="s">
        <v>209</v>
      </c>
      <c r="C17" s="114"/>
      <c r="D17" s="114">
        <f>SUM('2. sz. mell '!E71)</f>
        <v>242166</v>
      </c>
      <c r="E17" s="114">
        <f>SUM('2. sz. mell '!F71)</f>
        <v>242166</v>
      </c>
      <c r="F17" s="99" t="s">
        <v>160</v>
      </c>
      <c r="G17" s="115"/>
      <c r="H17" s="115"/>
      <c r="I17" s="115"/>
      <c r="J17" s="1806"/>
    </row>
    <row r="18" spans="1:10" ht="31.5" customHeight="1">
      <c r="A18" s="116" t="s">
        <v>210</v>
      </c>
      <c r="B18" s="117" t="s">
        <v>211</v>
      </c>
      <c r="C18" s="118"/>
      <c r="D18" s="118"/>
      <c r="E18" s="118"/>
      <c r="F18" s="99" t="s">
        <v>1837</v>
      </c>
      <c r="G18" s="119"/>
      <c r="H18" s="119"/>
      <c r="I18" s="119">
        <f>SUM('2. sz. mell '!F120)</f>
        <v>2072329</v>
      </c>
      <c r="J18" s="1806"/>
    </row>
    <row r="19" spans="1:10" ht="15" customHeight="1">
      <c r="A19" s="98" t="s">
        <v>212</v>
      </c>
      <c r="B19" s="99" t="s">
        <v>87</v>
      </c>
      <c r="C19" s="120"/>
      <c r="D19" s="120"/>
      <c r="E19" s="120"/>
      <c r="F19" s="99" t="s">
        <v>213</v>
      </c>
      <c r="G19" s="119"/>
      <c r="H19" s="119"/>
      <c r="I19" s="119"/>
      <c r="J19" s="1806"/>
    </row>
    <row r="20" spans="1:10" ht="15" customHeight="1">
      <c r="A20" s="98" t="s">
        <v>214</v>
      </c>
      <c r="B20" s="99" t="s">
        <v>88</v>
      </c>
      <c r="C20" s="120"/>
      <c r="D20" s="120">
        <f>SUM('2. sz. mell '!E74)</f>
        <v>198462</v>
      </c>
      <c r="E20" s="120">
        <f>SUM('2. sz. mell '!F74)</f>
        <v>2104786</v>
      </c>
      <c r="F20" s="99" t="s">
        <v>163</v>
      </c>
      <c r="G20" s="119"/>
      <c r="H20" s="119"/>
      <c r="I20" s="119"/>
      <c r="J20" s="1806"/>
    </row>
    <row r="21" spans="1:10" ht="30" customHeight="1">
      <c r="A21" s="98" t="s">
        <v>215</v>
      </c>
      <c r="B21" s="99" t="s">
        <v>216</v>
      </c>
      <c r="C21" s="120"/>
      <c r="D21" s="120"/>
      <c r="E21" s="120"/>
      <c r="F21" s="121" t="s">
        <v>164</v>
      </c>
      <c r="G21" s="119"/>
      <c r="H21" s="119"/>
      <c r="I21" s="119"/>
      <c r="J21" s="1806"/>
    </row>
    <row r="22" spans="1:10" ht="30" customHeight="1">
      <c r="A22" s="98" t="s">
        <v>217</v>
      </c>
      <c r="B22" s="121" t="s">
        <v>91</v>
      </c>
      <c r="C22" s="120"/>
      <c r="D22" s="120"/>
      <c r="E22" s="120"/>
      <c r="F22" s="99" t="s">
        <v>218</v>
      </c>
      <c r="G22" s="119"/>
      <c r="H22" s="119"/>
      <c r="I22" s="119"/>
      <c r="J22" s="1806"/>
    </row>
    <row r="23" spans="1:10" ht="30" customHeight="1">
      <c r="A23" s="122" t="s">
        <v>219</v>
      </c>
      <c r="B23" s="99" t="s">
        <v>220</v>
      </c>
      <c r="C23" s="123"/>
      <c r="D23" s="123"/>
      <c r="E23" s="123"/>
      <c r="F23" s="95" t="s">
        <v>165</v>
      </c>
      <c r="G23" s="115"/>
      <c r="H23" s="115"/>
      <c r="I23" s="115"/>
      <c r="J23" s="1806"/>
    </row>
    <row r="24" spans="1:10" ht="15" customHeight="1">
      <c r="A24" s="98" t="s">
        <v>221</v>
      </c>
      <c r="B24" s="124"/>
      <c r="C24" s="120"/>
      <c r="D24" s="120"/>
      <c r="E24" s="120"/>
      <c r="F24" s="99" t="s">
        <v>167</v>
      </c>
      <c r="G24" s="119"/>
      <c r="H24" s="119"/>
      <c r="I24" s="119"/>
      <c r="J24" s="1806"/>
    </row>
    <row r="25" spans="1:10" ht="15" customHeight="1" thickBot="1">
      <c r="A25" s="94" t="s">
        <v>222</v>
      </c>
      <c r="B25" s="104"/>
      <c r="C25" s="125"/>
      <c r="D25" s="125"/>
      <c r="E25" s="125"/>
      <c r="F25" s="95" t="s">
        <v>223</v>
      </c>
      <c r="G25" s="126"/>
      <c r="H25" s="126"/>
      <c r="I25" s="126"/>
      <c r="J25" s="1806"/>
    </row>
    <row r="26" spans="1:10" ht="15" customHeight="1" thickBot="1">
      <c r="A26" s="107" t="s">
        <v>225</v>
      </c>
      <c r="B26" s="108" t="s">
        <v>1830</v>
      </c>
      <c r="C26" s="109">
        <f>SUM(C17:C25)</f>
        <v>0</v>
      </c>
      <c r="D26" s="109">
        <f>SUM(D17:D25)</f>
        <v>440628</v>
      </c>
      <c r="E26" s="109">
        <f>SUM(E17:E25)</f>
        <v>2346952</v>
      </c>
      <c r="F26" s="108" t="s">
        <v>226</v>
      </c>
      <c r="G26" s="111">
        <f>SUM(G17:G25)</f>
        <v>0</v>
      </c>
      <c r="H26" s="111">
        <f>SUM(H17:H25)</f>
        <v>0</v>
      </c>
      <c r="I26" s="111">
        <f>SUM(I17:I25)</f>
        <v>2072329</v>
      </c>
      <c r="J26" s="1806"/>
    </row>
    <row r="27" spans="1:10" ht="18.75" customHeight="1">
      <c r="A27" s="127" t="s">
        <v>227</v>
      </c>
      <c r="B27" s="128" t="s">
        <v>1835</v>
      </c>
      <c r="C27" s="129">
        <f>+C16+C18+C26</f>
        <v>2914996</v>
      </c>
      <c r="D27" s="129">
        <f>+D16+D18+D26</f>
        <v>3691724</v>
      </c>
      <c r="E27" s="129">
        <f>+E16+E18+E26</f>
        <v>5723178</v>
      </c>
      <c r="F27" s="128" t="s">
        <v>228</v>
      </c>
      <c r="G27" s="130">
        <f>+G16+G26</f>
        <v>2867259</v>
      </c>
      <c r="H27" s="130">
        <f>+H16+H26</f>
        <v>3385126</v>
      </c>
      <c r="I27" s="130">
        <f>+I16+I26</f>
        <v>5155644</v>
      </c>
      <c r="J27" s="1806"/>
    </row>
    <row r="28" spans="1:10" ht="17.25" customHeight="1">
      <c r="A28" s="127" t="s">
        <v>229</v>
      </c>
      <c r="B28" s="128" t="s">
        <v>230</v>
      </c>
      <c r="C28" s="131" t="str">
        <f>IF(((G16-C16)&gt;0),G16-C16,"----")</f>
        <v>----</v>
      </c>
      <c r="D28" s="131">
        <f>IF(((H16-D16)&gt;0),H16-D16,"----")</f>
        <v>134030</v>
      </c>
      <c r="E28" s="131" t="str">
        <f>IF(((I16-E16)&gt;0),I16-E16,"----")</f>
        <v>----</v>
      </c>
      <c r="F28" s="128" t="s">
        <v>231</v>
      </c>
      <c r="G28" s="132">
        <f>IF(((C16-G16)&gt;0),C16-G16,"----")</f>
        <v>47737</v>
      </c>
      <c r="H28" s="132" t="str">
        <f>IF(((D16-H16)&gt;0),D16-H16,"----")</f>
        <v>----</v>
      </c>
      <c r="I28" s="132">
        <f>IF(((E16-I16)&gt;0),E16-I16,"----")</f>
        <v>292911</v>
      </c>
      <c r="J28" s="1806"/>
    </row>
    <row r="31" spans="1:10" ht="15.75">
      <c r="B31" s="133"/>
    </row>
    <row r="33" spans="2:11" ht="18.75">
      <c r="B33" s="134" t="s">
        <v>232</v>
      </c>
      <c r="C33" s="135">
        <f>SUM(C16)</f>
        <v>2914996</v>
      </c>
      <c r="D33" s="135">
        <f>SUM(D16)</f>
        <v>3251096</v>
      </c>
      <c r="E33" s="135">
        <f>SUM(E16)</f>
        <v>3376226</v>
      </c>
      <c r="F33" s="1112" t="s">
        <v>232</v>
      </c>
      <c r="G33" s="135">
        <f>SUM(C27)</f>
        <v>2914996</v>
      </c>
      <c r="H33" s="135">
        <f t="shared" ref="H33:I33" si="2">SUM(D27)</f>
        <v>3691724</v>
      </c>
      <c r="I33" s="135">
        <f t="shared" si="2"/>
        <v>5723178</v>
      </c>
    </row>
    <row r="34" spans="2:11" ht="19.5" thickBot="1">
      <c r="B34" s="134" t="s">
        <v>233</v>
      </c>
      <c r="C34" s="135">
        <f>SUM('1.2.sz.mell  '!C16)</f>
        <v>358195</v>
      </c>
      <c r="D34" s="135">
        <f>SUM('1.2.sz.mell  '!D16)</f>
        <v>459527</v>
      </c>
      <c r="E34" s="135">
        <f>SUM('1.2.sz.mell  '!E16)</f>
        <v>513071</v>
      </c>
      <c r="F34" s="1112" t="s">
        <v>233</v>
      </c>
      <c r="G34" s="135">
        <f>SUM('1.2.sz.mell  '!C28)</f>
        <v>358195</v>
      </c>
      <c r="H34" s="135">
        <f>SUM('1.2.sz.mell  '!D28)</f>
        <v>867227</v>
      </c>
      <c r="I34" s="135">
        <f>SUM('1.2.sz.mell  '!E28)</f>
        <v>916768</v>
      </c>
    </row>
    <row r="35" spans="2:11" ht="19.5" thickBot="1">
      <c r="B35" s="1128" t="s">
        <v>234</v>
      </c>
      <c r="C35" s="1126">
        <f>SUM(C33:C34)</f>
        <v>3273191</v>
      </c>
      <c r="D35" s="1126">
        <f>SUM(D33:D34)</f>
        <v>3710623</v>
      </c>
      <c r="E35" s="1127">
        <f>SUM(E33:E34)</f>
        <v>3889297</v>
      </c>
      <c r="F35" s="1125" t="s">
        <v>234</v>
      </c>
      <c r="G35" s="1126">
        <f>SUM(G33:G34)</f>
        <v>3273191</v>
      </c>
      <c r="H35" s="1126">
        <f>SUM(H33:H34)</f>
        <v>4558951</v>
      </c>
      <c r="I35" s="1127">
        <f>SUM(I33:I34)</f>
        <v>6639946</v>
      </c>
    </row>
    <row r="36" spans="2:11" ht="15.75">
      <c r="C36" s="136"/>
      <c r="D36" s="136"/>
      <c r="E36" s="136"/>
      <c r="F36" s="1113"/>
    </row>
    <row r="37" spans="2:11" ht="18.75">
      <c r="B37" s="86"/>
      <c r="F37" s="1112" t="s">
        <v>235</v>
      </c>
      <c r="G37" s="136">
        <f>SUM('2. sz. mell '!D78)</f>
        <v>3273191</v>
      </c>
      <c r="H37" s="136">
        <f>SUM('2. sz. mell '!E78)</f>
        <v>4558951</v>
      </c>
      <c r="I37" s="136">
        <f>SUM('2. sz. mell '!F78)</f>
        <v>6639946</v>
      </c>
    </row>
    <row r="38" spans="2:11" ht="18.75">
      <c r="B38" s="1110" t="s">
        <v>1812</v>
      </c>
      <c r="C38" s="219"/>
      <c r="D38" s="219"/>
      <c r="E38" s="219"/>
      <c r="F38" s="1114"/>
      <c r="G38" s="137"/>
      <c r="H38" s="137"/>
      <c r="I38" s="1121"/>
    </row>
    <row r="39" spans="2:11" ht="18.75">
      <c r="B39" s="134" t="s">
        <v>1814</v>
      </c>
      <c r="C39" s="135">
        <v>2914996</v>
      </c>
      <c r="D39" s="135">
        <v>3251096</v>
      </c>
      <c r="E39" s="135">
        <v>3376226</v>
      </c>
      <c r="F39" s="1115" t="s">
        <v>236</v>
      </c>
      <c r="G39" s="1108">
        <f>SUM(G37-G35)</f>
        <v>0</v>
      </c>
      <c r="H39" s="1108">
        <f>SUM(H37-H35)</f>
        <v>0</v>
      </c>
      <c r="I39" s="1109">
        <f>SUM(I37-I35)</f>
        <v>0</v>
      </c>
      <c r="K39" s="436"/>
    </row>
    <row r="40" spans="2:11" ht="18.75">
      <c r="B40" s="134" t="s">
        <v>1813</v>
      </c>
      <c r="C40" s="1108">
        <f>SUM(C39-C33)</f>
        <v>0</v>
      </c>
      <c r="D40" s="1108">
        <f>SUM(D39-D33)</f>
        <v>0</v>
      </c>
      <c r="E40" s="1111">
        <f>SUM(E39-E33)</f>
        <v>0</v>
      </c>
      <c r="F40" s="1116"/>
    </row>
    <row r="41" spans="2:11" ht="18.75">
      <c r="B41" s="134"/>
      <c r="C41" s="135"/>
      <c r="D41" s="135"/>
      <c r="E41" s="135"/>
      <c r="F41" s="1117"/>
    </row>
    <row r="42" spans="2:11" ht="18.75">
      <c r="B42" s="134" t="s">
        <v>1815</v>
      </c>
      <c r="C42" s="135">
        <v>358195</v>
      </c>
      <c r="D42" s="135">
        <v>459527</v>
      </c>
      <c r="E42" s="135">
        <v>513071</v>
      </c>
      <c r="F42" s="1117"/>
    </row>
    <row r="43" spans="2:11" ht="18.75">
      <c r="B43" s="134" t="s">
        <v>1813</v>
      </c>
      <c r="C43" s="1108">
        <f>SUM(C42-C34)</f>
        <v>0</v>
      </c>
      <c r="D43" s="1108">
        <f>SUM(D42-D34)</f>
        <v>0</v>
      </c>
      <c r="E43" s="1111">
        <f>SUM(E42-E34)</f>
        <v>0</v>
      </c>
      <c r="F43" s="1117"/>
    </row>
    <row r="44" spans="2:11">
      <c r="F44" s="1117"/>
    </row>
    <row r="45" spans="2:11">
      <c r="F45" s="1117"/>
    </row>
    <row r="46" spans="2:11">
      <c r="F46" s="1117"/>
    </row>
    <row r="47" spans="2:11" ht="18.75">
      <c r="B47" s="134" t="s">
        <v>237</v>
      </c>
      <c r="C47" s="135">
        <f>SUM(G16)</f>
        <v>2867259</v>
      </c>
      <c r="D47" s="135">
        <f>SUM(H16)</f>
        <v>3385126</v>
      </c>
      <c r="E47" s="135">
        <f>SUM(I16)</f>
        <v>3083315</v>
      </c>
      <c r="F47" s="1118" t="s">
        <v>237</v>
      </c>
      <c r="G47" s="135">
        <f>SUM(G27)</f>
        <v>2867259</v>
      </c>
      <c r="H47" s="135">
        <f t="shared" ref="H47:I47" si="3">SUM(H27)</f>
        <v>3385126</v>
      </c>
      <c r="I47" s="135">
        <f t="shared" si="3"/>
        <v>5155644</v>
      </c>
    </row>
    <row r="48" spans="2:11" ht="19.5" thickBot="1">
      <c r="B48" s="134" t="s">
        <v>238</v>
      </c>
      <c r="C48" s="135">
        <f>SUM('1.2.sz.mell  '!G16)</f>
        <v>341932</v>
      </c>
      <c r="D48" s="135">
        <f>SUM('1.2.sz.mell  '!H16)</f>
        <v>1108977</v>
      </c>
      <c r="E48" s="135">
        <f>SUM('1.2.sz.mell  '!I16)</f>
        <v>602706</v>
      </c>
      <c r="F48" s="1118" t="s">
        <v>238</v>
      </c>
      <c r="G48" s="135">
        <f>SUM('1.2.sz.mell  '!G28)</f>
        <v>405932</v>
      </c>
      <c r="H48" s="135">
        <f>SUM('1.2.sz.mell  '!H28)</f>
        <v>1173825</v>
      </c>
      <c r="I48" s="135">
        <f>SUM('1.2.sz.mell  '!I28)</f>
        <v>691894</v>
      </c>
    </row>
    <row r="49" spans="2:9" ht="19.5" thickBot="1">
      <c r="B49" s="1128" t="s">
        <v>239</v>
      </c>
      <c r="C49" s="1126">
        <f>SUM(C47:C48)</f>
        <v>3209191</v>
      </c>
      <c r="D49" s="1126">
        <f>SUM(D47:D48)</f>
        <v>4494103</v>
      </c>
      <c r="E49" s="1127">
        <f>SUM(E47:E48)</f>
        <v>3686021</v>
      </c>
      <c r="F49" s="1122" t="s">
        <v>239</v>
      </c>
      <c r="G49" s="1123">
        <f>SUM(G47:G48)</f>
        <v>3273191</v>
      </c>
      <c r="H49" s="1123">
        <f>SUM(H47:H48)</f>
        <v>4558951</v>
      </c>
      <c r="I49" s="1124">
        <f>SUM(I47:I48)</f>
        <v>5847538</v>
      </c>
    </row>
    <row r="50" spans="2:9" ht="18.75">
      <c r="B50" s="134"/>
      <c r="C50" s="219"/>
      <c r="D50" s="219"/>
      <c r="E50" s="219"/>
      <c r="F50" s="1119"/>
      <c r="I50" s="137"/>
    </row>
    <row r="51" spans="2:9" ht="18.75">
      <c r="F51" s="1118" t="s">
        <v>240</v>
      </c>
      <c r="G51" s="136">
        <f>SUM('2. sz. mell '!D124)</f>
        <v>3273191</v>
      </c>
      <c r="H51" s="136">
        <f>SUM('2. sz. mell '!E124)</f>
        <v>4558951</v>
      </c>
      <c r="I51" s="136">
        <f>SUM('2. sz. mell '!F124)</f>
        <v>5847538</v>
      </c>
    </row>
    <row r="52" spans="2:9" ht="18.75">
      <c r="B52" s="1110" t="s">
        <v>1812</v>
      </c>
      <c r="F52" s="1119"/>
    </row>
    <row r="53" spans="2:9" ht="18.75">
      <c r="B53" s="86"/>
      <c r="F53" s="1120" t="s">
        <v>236</v>
      </c>
      <c r="G53" s="1111">
        <f>SUM(G51-G49)</f>
        <v>0</v>
      </c>
      <c r="H53" s="1111">
        <f>SUM(H51-H49)</f>
        <v>0</v>
      </c>
      <c r="I53" s="1129">
        <f>SUM(I51-I49)</f>
        <v>0</v>
      </c>
    </row>
    <row r="54" spans="2:9" ht="18.75">
      <c r="B54" s="134" t="s">
        <v>1816</v>
      </c>
      <c r="C54" s="135">
        <v>2901759</v>
      </c>
      <c r="D54" s="135">
        <v>3429626</v>
      </c>
      <c r="E54" s="135">
        <v>3108623</v>
      </c>
      <c r="F54" s="1117"/>
    </row>
    <row r="55" spans="2:9" ht="18.75">
      <c r="B55" s="1130" t="s">
        <v>1813</v>
      </c>
      <c r="C55" s="1108">
        <f>SUM(C54-C47)</f>
        <v>34500</v>
      </c>
      <c r="D55" s="1108">
        <f>SUM(D54-D47)</f>
        <v>44500</v>
      </c>
      <c r="E55" s="1111">
        <f>SUM(E54-E47)</f>
        <v>25308</v>
      </c>
      <c r="F55" s="1117"/>
    </row>
    <row r="56" spans="2:9" ht="18.75">
      <c r="B56" s="134"/>
      <c r="F56" s="1117"/>
    </row>
    <row r="57" spans="2:9" ht="18.75">
      <c r="B57" s="134" t="s">
        <v>1817</v>
      </c>
      <c r="C57" s="135">
        <v>307432</v>
      </c>
      <c r="D57" s="135">
        <v>1064477</v>
      </c>
      <c r="E57" s="135">
        <v>577398</v>
      </c>
      <c r="F57" s="1117"/>
      <c r="G57" s="219"/>
      <c r="H57" s="728"/>
      <c r="I57" s="219"/>
    </row>
    <row r="58" spans="2:9" ht="18.75">
      <c r="B58" s="1130" t="s">
        <v>1813</v>
      </c>
      <c r="C58" s="1108">
        <f>SUM(C57-C48)</f>
        <v>-34500</v>
      </c>
      <c r="D58" s="1108">
        <f>SUM(D57-D48)</f>
        <v>-44500</v>
      </c>
      <c r="E58" s="1108">
        <f>SUM(E57-E48)</f>
        <v>-25308</v>
      </c>
      <c r="F58" s="1117"/>
      <c r="G58" s="219"/>
      <c r="H58" s="728"/>
      <c r="I58" s="219"/>
    </row>
    <row r="59" spans="2:9" ht="15.75">
      <c r="B59" s="86"/>
      <c r="F59" s="1117"/>
      <c r="G59" s="219"/>
      <c r="H59" s="728"/>
      <c r="I59" s="219"/>
    </row>
    <row r="60" spans="2:9" ht="16.5">
      <c r="B60" s="1224" t="s">
        <v>1913</v>
      </c>
      <c r="C60" s="1225"/>
      <c r="D60" s="1225">
        <f>SUM(D55+D58)</f>
        <v>0</v>
      </c>
      <c r="E60" s="1225">
        <f>SUM(E55+E58)</f>
        <v>0</v>
      </c>
      <c r="F60" s="1117"/>
      <c r="G60" s="219"/>
      <c r="H60" s="728"/>
      <c r="I60" s="219"/>
    </row>
    <row r="61" spans="2:9" ht="15.75">
      <c r="B61" s="124"/>
      <c r="C61" s="523"/>
      <c r="D61" s="523"/>
      <c r="F61" s="1117"/>
      <c r="G61" s="219"/>
      <c r="H61" s="728"/>
      <c r="I61" s="219"/>
    </row>
    <row r="62" spans="2:9" ht="15.75">
      <c r="B62" s="124"/>
      <c r="C62" s="523"/>
      <c r="D62" s="523"/>
      <c r="F62" s="1117"/>
      <c r="G62" s="219"/>
      <c r="H62" s="728"/>
      <c r="I62" s="219"/>
    </row>
    <row r="63" spans="2:9" ht="15.75">
      <c r="F63" s="1117"/>
      <c r="G63" s="219"/>
      <c r="H63" s="728"/>
      <c r="I63" s="219"/>
    </row>
    <row r="64" spans="2:9" ht="15.75">
      <c r="F64" s="1117"/>
      <c r="G64" s="219"/>
      <c r="H64" s="728"/>
      <c r="I64" s="219"/>
    </row>
    <row r="65" spans="2:9" ht="15.75">
      <c r="G65" s="219"/>
      <c r="H65" s="728"/>
      <c r="I65" s="219"/>
    </row>
    <row r="66" spans="2:9">
      <c r="G66" s="219"/>
      <c r="H66" s="219"/>
      <c r="I66" s="219"/>
    </row>
    <row r="67" spans="2:9">
      <c r="G67" s="219"/>
      <c r="H67" s="219"/>
      <c r="I67" s="219"/>
    </row>
    <row r="68" spans="2:9">
      <c r="B68" s="86"/>
      <c r="G68" s="219"/>
      <c r="H68" s="219"/>
      <c r="I68" s="219"/>
    </row>
    <row r="69" spans="2:9" ht="18.75">
      <c r="B69" s="134"/>
      <c r="C69" s="136"/>
      <c r="D69" s="136"/>
      <c r="E69" s="136"/>
    </row>
    <row r="71" spans="2:9" ht="18.75">
      <c r="B71" s="134"/>
      <c r="C71" s="136"/>
      <c r="D71" s="479"/>
      <c r="E71" s="479"/>
    </row>
    <row r="72" spans="2:9" ht="15.75">
      <c r="C72" s="136"/>
      <c r="D72" s="136"/>
      <c r="E72" s="136"/>
    </row>
    <row r="73" spans="2:9" ht="15.75">
      <c r="C73" s="136"/>
      <c r="D73" s="136"/>
      <c r="E73" s="136"/>
    </row>
  </sheetData>
  <sheetProtection selectLockedCells="1" selectUnlockedCells="1"/>
  <mergeCells count="6">
    <mergeCell ref="J1:J28"/>
    <mergeCell ref="G2:I2"/>
    <mergeCell ref="A3:A4"/>
    <mergeCell ref="B3:E3"/>
    <mergeCell ref="A1:I1"/>
    <mergeCell ref="F3:G3"/>
  </mergeCells>
  <printOptions horizontalCentered="1" verticalCentered="1"/>
  <pageMargins left="0.19685039370078741" right="0.19685039370078741" top="0.43307086614173229" bottom="0.51181102362204722" header="0.19685039370078741" footer="0.27559055118110237"/>
  <pageSetup paperSize="9" scale="89" firstPageNumber="32" orientation="landscape" r:id="rId1"/>
  <headerFooter alignWithMargins="0">
    <oddHeader>&amp;R&amp;"Times New Roman,Normál"&amp;12 1.1. sz. melléklet</oddHeader>
    <oddFooter>&amp;C- &amp;P -</oddFooter>
  </headerFooter>
  <rowBreaks count="1" manualBreakCount="1">
    <brk id="28" max="8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topLeftCell="A22" zoomScaleNormal="130" workbookViewId="0">
      <selection activeCell="D39" sqref="D39"/>
    </sheetView>
  </sheetViews>
  <sheetFormatPr defaultRowHeight="12.75"/>
  <cols>
    <col min="1" max="1" width="6.5" style="151" customWidth="1"/>
    <col min="2" max="2" width="9.6640625" style="152" customWidth="1"/>
    <col min="3" max="3" width="65.83203125" style="152" customWidth="1"/>
    <col min="4" max="4" width="14.1640625" style="152" customWidth="1"/>
    <col min="5" max="6" width="13.33203125" style="152" customWidth="1"/>
    <col min="7" max="7" width="9.83203125" style="152" customWidth="1"/>
    <col min="8" max="16384" width="9.33203125" style="152"/>
  </cols>
  <sheetData>
    <row r="1" spans="1:7" s="523" customFormat="1" ht="15" customHeight="1" thickBot="1">
      <c r="A1" s="433"/>
      <c r="B1" s="434"/>
      <c r="C1" s="435"/>
      <c r="D1" s="1944" t="s">
        <v>1381</v>
      </c>
      <c r="E1" s="1944"/>
      <c r="F1" s="1944"/>
      <c r="G1" s="1944"/>
    </row>
    <row r="2" spans="1:7" s="524" customFormat="1" ht="30" customHeight="1" thickBot="1">
      <c r="A2" s="1901" t="s">
        <v>760</v>
      </c>
      <c r="B2" s="1901"/>
      <c r="C2" s="153" t="s">
        <v>844</v>
      </c>
      <c r="D2" s="1950" t="s">
        <v>1259</v>
      </c>
      <c r="E2" s="456"/>
      <c r="F2" s="456"/>
      <c r="G2" s="456"/>
    </row>
    <row r="3" spans="1:7" s="524" customFormat="1" ht="30" customHeight="1" thickBot="1">
      <c r="A3" s="1901" t="s">
        <v>258</v>
      </c>
      <c r="B3" s="1901"/>
      <c r="C3" s="156" t="s">
        <v>845</v>
      </c>
      <c r="D3" s="1951"/>
      <c r="E3" s="437"/>
      <c r="F3" s="437"/>
      <c r="G3" s="437"/>
    </row>
    <row r="4" spans="1:7" s="524" customFormat="1" ht="15" customHeight="1" thickBot="1">
      <c r="A4" s="157"/>
      <c r="B4" s="157"/>
      <c r="C4" s="157"/>
      <c r="D4" s="1908" t="s">
        <v>194</v>
      </c>
      <c r="E4" s="1908"/>
      <c r="F4" s="1908"/>
      <c r="G4" s="1908"/>
    </row>
    <row r="5" spans="1:7" s="177" customFormat="1" ht="39" customHeight="1" thickBo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7" s="525" customFormat="1" ht="15" customHeight="1">
      <c r="A6" s="160">
        <v>1</v>
      </c>
      <c r="B6" s="163">
        <v>2</v>
      </c>
      <c r="C6" s="163">
        <v>3</v>
      </c>
      <c r="D6" s="164">
        <v>4</v>
      </c>
      <c r="E6" s="164" t="s">
        <v>38</v>
      </c>
      <c r="F6" s="164" t="s">
        <v>48</v>
      </c>
      <c r="G6" s="164" t="s">
        <v>178</v>
      </c>
    </row>
    <row r="7" spans="1:7" s="525" customFormat="1" ht="15" customHeight="1">
      <c r="A7" s="256"/>
      <c r="B7" s="257"/>
      <c r="C7" s="500" t="s">
        <v>196</v>
      </c>
      <c r="D7" s="258"/>
      <c r="E7" s="258"/>
      <c r="F7" s="258"/>
      <c r="G7" s="258"/>
    </row>
    <row r="8" spans="1:7" s="173" customFormat="1" ht="15" customHeight="1">
      <c r="A8" s="170" t="s">
        <v>4</v>
      </c>
      <c r="B8" s="171"/>
      <c r="C8" s="172" t="s">
        <v>762</v>
      </c>
      <c r="D8" s="242">
        <f>SUM(D9:D16)</f>
        <v>0</v>
      </c>
      <c r="E8" s="242">
        <f t="shared" ref="E8:F8" si="0">SUM(E9:E16)</f>
        <v>0</v>
      </c>
      <c r="F8" s="242">
        <f t="shared" si="0"/>
        <v>0</v>
      </c>
      <c r="G8" s="242"/>
    </row>
    <row r="9" spans="1:7" s="173" customFormat="1" ht="15" customHeight="1">
      <c r="A9" s="181"/>
      <c r="B9" s="175" t="s">
        <v>102</v>
      </c>
      <c r="C9" s="19" t="s">
        <v>22</v>
      </c>
      <c r="D9" s="245">
        <v>0</v>
      </c>
      <c r="E9" s="245">
        <v>0</v>
      </c>
      <c r="F9" s="245">
        <v>0</v>
      </c>
      <c r="G9" s="245"/>
    </row>
    <row r="10" spans="1:7" s="173" customFormat="1" ht="15" customHeight="1">
      <c r="A10" s="174"/>
      <c r="B10" s="175" t="s">
        <v>104</v>
      </c>
      <c r="C10" s="15" t="s">
        <v>24</v>
      </c>
      <c r="D10" s="243">
        <v>0</v>
      </c>
      <c r="E10" s="243">
        <v>0</v>
      </c>
      <c r="F10" s="243">
        <v>0</v>
      </c>
      <c r="G10" s="243"/>
    </row>
    <row r="11" spans="1:7" s="173" customFormat="1" ht="15" customHeight="1">
      <c r="A11" s="174"/>
      <c r="B11" s="175" t="s">
        <v>106</v>
      </c>
      <c r="C11" s="15" t="s">
        <v>26</v>
      </c>
      <c r="D11" s="243">
        <v>0</v>
      </c>
      <c r="E11" s="243">
        <v>0</v>
      </c>
      <c r="F11" s="243">
        <v>0</v>
      </c>
      <c r="G11" s="243"/>
    </row>
    <row r="12" spans="1:7" s="173" customFormat="1" ht="15" customHeight="1">
      <c r="A12" s="174"/>
      <c r="B12" s="175" t="s">
        <v>108</v>
      </c>
      <c r="C12" s="15" t="s">
        <v>28</v>
      </c>
      <c r="D12" s="243">
        <v>0</v>
      </c>
      <c r="E12" s="243">
        <v>0</v>
      </c>
      <c r="F12" s="243">
        <v>0</v>
      </c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>
        <v>0</v>
      </c>
      <c r="E13" s="243">
        <v>0</v>
      </c>
      <c r="F13" s="243">
        <v>0</v>
      </c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4">
        <v>0</v>
      </c>
      <c r="E14" s="244">
        <v>0</v>
      </c>
      <c r="F14" s="244">
        <v>0</v>
      </c>
      <c r="G14" s="244"/>
    </row>
    <row r="15" spans="1:7" s="177" customFormat="1" ht="15" customHeight="1">
      <c r="A15" s="174"/>
      <c r="B15" s="175" t="s">
        <v>437</v>
      </c>
      <c r="C15" s="15" t="s">
        <v>34</v>
      </c>
      <c r="D15" s="243">
        <v>0</v>
      </c>
      <c r="E15" s="243">
        <v>0</v>
      </c>
      <c r="F15" s="243"/>
      <c r="G15" s="243"/>
    </row>
    <row r="16" spans="1:7" s="177" customFormat="1" ht="15" customHeight="1">
      <c r="A16" s="183"/>
      <c r="B16" s="184" t="s">
        <v>439</v>
      </c>
      <c r="C16" s="22" t="s">
        <v>36</v>
      </c>
      <c r="D16" s="246">
        <v>0</v>
      </c>
      <c r="E16" s="246">
        <v>0</v>
      </c>
      <c r="F16" s="246"/>
      <c r="G16" s="246"/>
    </row>
    <row r="17" spans="1:11" s="173" customFormat="1" ht="15" customHeight="1">
      <c r="A17" s="170" t="s">
        <v>5</v>
      </c>
      <c r="B17" s="171"/>
      <c r="C17" s="211" t="s">
        <v>1635</v>
      </c>
      <c r="D17" s="242">
        <f>SUM(D18:D23)</f>
        <v>75522</v>
      </c>
      <c r="E17" s="242">
        <f t="shared" ref="E17:F17" si="1">SUM(E18:E23)</f>
        <v>0</v>
      </c>
      <c r="F17" s="242">
        <f t="shared" si="1"/>
        <v>0</v>
      </c>
      <c r="G17" s="242"/>
    </row>
    <row r="18" spans="1:11" s="177" customFormat="1" ht="15" customHeight="1">
      <c r="A18" s="174"/>
      <c r="B18" s="175" t="s">
        <v>6</v>
      </c>
      <c r="C18" s="27" t="s">
        <v>1636</v>
      </c>
      <c r="D18" s="243">
        <f>SUM('5.9.1..sz mell.'!E9+'5.9.1..sz mell.'!E14+'5.9.1..sz mell.'!E58+'5.9.1..sz mell.'!E63)</f>
        <v>72598</v>
      </c>
      <c r="E18" s="243"/>
      <c r="F18" s="243"/>
      <c r="G18" s="243"/>
    </row>
    <row r="19" spans="1:11" s="177" customFormat="1" ht="15" customHeight="1">
      <c r="A19" s="174"/>
      <c r="B19" s="175" t="s">
        <v>304</v>
      </c>
      <c r="C19" s="15" t="s">
        <v>1637</v>
      </c>
      <c r="D19" s="243"/>
      <c r="E19" s="243"/>
      <c r="F19" s="243"/>
      <c r="G19" s="243"/>
      <c r="H19" s="518"/>
      <c r="I19" s="518"/>
      <c r="J19" s="190"/>
      <c r="K19" s="190"/>
    </row>
    <row r="20" spans="1:11" s="177" customFormat="1" ht="15" customHeight="1">
      <c r="A20" s="1215"/>
      <c r="B20" s="175" t="s">
        <v>305</v>
      </c>
      <c r="C20" s="15" t="s">
        <v>764</v>
      </c>
      <c r="D20" s="1216"/>
      <c r="E20" s="1216"/>
      <c r="F20" s="1216"/>
      <c r="G20" s="1216"/>
      <c r="H20" s="518"/>
      <c r="I20" s="518"/>
      <c r="J20" s="190"/>
      <c r="K20" s="190"/>
    </row>
    <row r="21" spans="1:11" s="177" customFormat="1" ht="15" customHeight="1">
      <c r="A21" s="174"/>
      <c r="B21" s="175" t="s">
        <v>306</v>
      </c>
      <c r="C21" s="15" t="s">
        <v>765</v>
      </c>
      <c r="D21" s="243">
        <v>0</v>
      </c>
      <c r="E21" s="243">
        <v>0</v>
      </c>
      <c r="F21" s="243">
        <v>0</v>
      </c>
      <c r="G21" s="243"/>
    </row>
    <row r="22" spans="1:11" s="177" customFormat="1" ht="15" customHeight="1">
      <c r="A22" s="174"/>
      <c r="B22" s="175" t="s">
        <v>307</v>
      </c>
      <c r="C22" s="15" t="s">
        <v>766</v>
      </c>
      <c r="D22" s="243">
        <v>0</v>
      </c>
      <c r="E22" s="243">
        <v>0</v>
      </c>
      <c r="F22" s="243">
        <v>0</v>
      </c>
      <c r="G22" s="243"/>
    </row>
    <row r="23" spans="1:11" s="177" customFormat="1" ht="15" customHeight="1" thickBot="1">
      <c r="A23" s="174"/>
      <c r="B23" s="175" t="s">
        <v>308</v>
      </c>
      <c r="C23" s="15" t="s">
        <v>767</v>
      </c>
      <c r="D23" s="243">
        <v>2924</v>
      </c>
      <c r="E23" s="243"/>
      <c r="F23" s="243"/>
      <c r="G23" s="243"/>
    </row>
    <row r="24" spans="1:11" s="177" customFormat="1" ht="15" customHeight="1">
      <c r="A24" s="170" t="s">
        <v>19</v>
      </c>
      <c r="B24" s="12"/>
      <c r="C24" s="12" t="s">
        <v>768</v>
      </c>
      <c r="D24" s="209">
        <v>0</v>
      </c>
      <c r="E24" s="209">
        <v>0</v>
      </c>
      <c r="F24" s="209">
        <v>0</v>
      </c>
      <c r="G24" s="209"/>
    </row>
    <row r="25" spans="1:11" s="173" customFormat="1" ht="15" customHeight="1">
      <c r="A25" s="170" t="s">
        <v>149</v>
      </c>
      <c r="B25" s="171"/>
      <c r="C25" s="12" t="s">
        <v>810</v>
      </c>
      <c r="D25" s="209">
        <v>0</v>
      </c>
      <c r="E25" s="209">
        <v>0</v>
      </c>
      <c r="F25" s="209">
        <v>0</v>
      </c>
      <c r="G25" s="209"/>
    </row>
    <row r="26" spans="1:11" s="173" customFormat="1" ht="15" customHeight="1">
      <c r="A26" s="170" t="s">
        <v>38</v>
      </c>
      <c r="B26" s="198"/>
      <c r="C26" s="12" t="s">
        <v>811</v>
      </c>
      <c r="D26" s="254">
        <f>+D27+D28</f>
        <v>0</v>
      </c>
      <c r="E26" s="254">
        <f t="shared" ref="E26:F26" si="2">+E27+E28</f>
        <v>0</v>
      </c>
      <c r="F26" s="254">
        <f t="shared" si="2"/>
        <v>0</v>
      </c>
      <c r="G26" s="254"/>
    </row>
    <row r="27" spans="1:11" s="173" customFormat="1" ht="15" customHeight="1">
      <c r="A27" s="181"/>
      <c r="B27" s="188" t="s">
        <v>39</v>
      </c>
      <c r="C27" s="19" t="s">
        <v>772</v>
      </c>
      <c r="D27" s="255">
        <v>0</v>
      </c>
      <c r="E27" s="255"/>
      <c r="F27" s="255"/>
      <c r="G27" s="255"/>
    </row>
    <row r="28" spans="1:11" s="173" customFormat="1" ht="15" customHeight="1">
      <c r="A28" s="191"/>
      <c r="B28" s="192" t="s">
        <v>40</v>
      </c>
      <c r="C28" s="24" t="s">
        <v>773</v>
      </c>
      <c r="D28" s="249">
        <v>0</v>
      </c>
      <c r="E28" s="249">
        <v>0</v>
      </c>
      <c r="F28" s="249">
        <v>0</v>
      </c>
      <c r="G28" s="249"/>
    </row>
    <row r="29" spans="1:11" s="177" customFormat="1" ht="15" customHeight="1">
      <c r="A29" s="201" t="s">
        <v>48</v>
      </c>
      <c r="B29" s="202"/>
      <c r="C29" s="12" t="s">
        <v>812</v>
      </c>
      <c r="D29" s="209">
        <v>18181</v>
      </c>
      <c r="E29" s="209"/>
      <c r="F29" s="209"/>
      <c r="G29" s="209"/>
      <c r="J29" s="190">
        <f>SUM(D47-D31)</f>
        <v>0</v>
      </c>
      <c r="K29" s="177">
        <v>68477</v>
      </c>
    </row>
    <row r="30" spans="1:11" s="177" customFormat="1" ht="15" customHeight="1">
      <c r="A30" s="201"/>
      <c r="B30" s="202"/>
      <c r="C30" s="12" t="s">
        <v>813</v>
      </c>
      <c r="D30" s="209"/>
      <c r="E30" s="209"/>
      <c r="F30" s="209"/>
      <c r="G30" s="209"/>
      <c r="K30" s="190">
        <f>SUM(F31-K29)</f>
        <v>-68477</v>
      </c>
    </row>
    <row r="31" spans="1:11" s="177" customFormat="1" ht="15" customHeight="1">
      <c r="A31" s="256" t="s">
        <v>178</v>
      </c>
      <c r="B31" s="257"/>
      <c r="C31" s="467" t="s">
        <v>814</v>
      </c>
      <c r="D31" s="258">
        <f>SUM(D8,D17,D24,D25,D26,D29)</f>
        <v>93703</v>
      </c>
      <c r="E31" s="258">
        <f t="shared" ref="E31:F31" si="3">SUM(E8,E17,E24,E25,E26,E29)</f>
        <v>0</v>
      </c>
      <c r="F31" s="258">
        <f t="shared" si="3"/>
        <v>0</v>
      </c>
      <c r="G31" s="258"/>
      <c r="I31" s="190"/>
    </row>
    <row r="32" spans="1:11" s="177" customFormat="1" ht="15" customHeight="1">
      <c r="A32" s="449"/>
      <c r="B32" s="449"/>
      <c r="C32" s="468"/>
      <c r="D32" s="501"/>
      <c r="E32" s="501"/>
      <c r="F32" s="501"/>
      <c r="G32" s="501"/>
    </row>
    <row r="33" spans="1:7" s="525" customFormat="1" ht="15" customHeight="1">
      <c r="A33" s="256"/>
      <c r="B33" s="257"/>
      <c r="C33" s="500" t="s">
        <v>197</v>
      </c>
      <c r="D33" s="258"/>
      <c r="E33" s="258"/>
      <c r="F33" s="258"/>
      <c r="G33" s="258"/>
    </row>
    <row r="34" spans="1:7" s="173" customFormat="1" ht="15" customHeight="1">
      <c r="A34" s="170" t="s">
        <v>4</v>
      </c>
      <c r="B34" s="12"/>
      <c r="C34" s="67" t="s">
        <v>101</v>
      </c>
      <c r="D34" s="242">
        <f>SUM(D35:D39)</f>
        <v>93703</v>
      </c>
      <c r="E34" s="242">
        <f t="shared" ref="E34:F34" si="4">SUM(E35:E39)</f>
        <v>0</v>
      </c>
      <c r="F34" s="242">
        <f t="shared" si="4"/>
        <v>0</v>
      </c>
      <c r="G34" s="242"/>
    </row>
    <row r="35" spans="1:7" s="177" customFormat="1" ht="15" customHeight="1">
      <c r="A35" s="193"/>
      <c r="B35" s="220" t="s">
        <v>102</v>
      </c>
      <c r="C35" s="27" t="s">
        <v>103</v>
      </c>
      <c r="D35" s="250">
        <v>61286</v>
      </c>
      <c r="E35" s="250"/>
      <c r="F35" s="250"/>
      <c r="G35" s="250"/>
    </row>
    <row r="36" spans="1:7" s="177" customFormat="1" ht="15" customHeight="1">
      <c r="A36" s="174"/>
      <c r="B36" s="189" t="s">
        <v>104</v>
      </c>
      <c r="C36" s="15" t="s">
        <v>105</v>
      </c>
      <c r="D36" s="243">
        <v>16138</v>
      </c>
      <c r="E36" s="243"/>
      <c r="F36" s="243"/>
      <c r="G36" s="243"/>
    </row>
    <row r="37" spans="1:7" s="177" customFormat="1" ht="15" customHeight="1">
      <c r="A37" s="174"/>
      <c r="B37" s="189" t="s">
        <v>106</v>
      </c>
      <c r="C37" s="15" t="s">
        <v>107</v>
      </c>
      <c r="D37" s="243">
        <v>12132</v>
      </c>
      <c r="E37" s="243"/>
      <c r="F37" s="243"/>
      <c r="G37" s="243"/>
    </row>
    <row r="38" spans="1:7" s="177" customFormat="1" ht="15" customHeight="1">
      <c r="A38" s="174"/>
      <c r="B38" s="189" t="s">
        <v>108</v>
      </c>
      <c r="C38" s="15" t="s">
        <v>109</v>
      </c>
      <c r="D38" s="243"/>
      <c r="E38" s="243"/>
      <c r="F38" s="243"/>
      <c r="G38" s="243"/>
    </row>
    <row r="39" spans="1:7" s="177" customFormat="1" ht="15" customHeight="1">
      <c r="A39" s="174"/>
      <c r="B39" s="189" t="s">
        <v>110</v>
      </c>
      <c r="C39" s="15" t="s">
        <v>111</v>
      </c>
      <c r="D39" s="243">
        <v>4147</v>
      </c>
      <c r="E39" s="243"/>
      <c r="F39" s="243"/>
      <c r="G39" s="243"/>
    </row>
    <row r="40" spans="1:7" s="177" customFormat="1" ht="15" customHeight="1">
      <c r="A40" s="170" t="s">
        <v>5</v>
      </c>
      <c r="B40" s="12"/>
      <c r="C40" s="67" t="s">
        <v>787</v>
      </c>
      <c r="D40" s="242">
        <f>SUM(D41:D44)</f>
        <v>0</v>
      </c>
      <c r="E40" s="242">
        <f t="shared" ref="E40:F40" si="5">SUM(E41:E44)</f>
        <v>0</v>
      </c>
      <c r="F40" s="242">
        <f t="shared" si="5"/>
        <v>0</v>
      </c>
      <c r="G40" s="242"/>
    </row>
    <row r="41" spans="1:7" s="173" customFormat="1" ht="15" customHeight="1">
      <c r="A41" s="193"/>
      <c r="B41" s="220" t="s">
        <v>6</v>
      </c>
      <c r="C41" s="27" t="s">
        <v>780</v>
      </c>
      <c r="D41" s="250">
        <v>0</v>
      </c>
      <c r="E41" s="250">
        <v>0</v>
      </c>
      <c r="F41" s="250">
        <v>0</v>
      </c>
      <c r="G41" s="250"/>
    </row>
    <row r="42" spans="1:7" s="177" customFormat="1" ht="15" customHeight="1">
      <c r="A42" s="174"/>
      <c r="B42" s="189" t="s">
        <v>8</v>
      </c>
      <c r="C42" s="15" t="s">
        <v>134</v>
      </c>
      <c r="D42" s="243">
        <v>0</v>
      </c>
      <c r="E42" s="243">
        <v>0</v>
      </c>
      <c r="F42" s="243">
        <v>0</v>
      </c>
      <c r="G42" s="243"/>
    </row>
    <row r="43" spans="1:7" s="177" customFormat="1" ht="15" customHeight="1">
      <c r="A43" s="174"/>
      <c r="B43" s="189" t="s">
        <v>14</v>
      </c>
      <c r="C43" s="15" t="s">
        <v>137</v>
      </c>
      <c r="D43" s="243">
        <v>0</v>
      </c>
      <c r="E43" s="243">
        <v>0</v>
      </c>
      <c r="F43" s="243">
        <v>0</v>
      </c>
      <c r="G43" s="243"/>
    </row>
    <row r="44" spans="1:7" s="177" customFormat="1" ht="15" customHeight="1">
      <c r="A44" s="174"/>
      <c r="B44" s="189" t="s">
        <v>18</v>
      </c>
      <c r="C44" s="15" t="s">
        <v>781</v>
      </c>
      <c r="D44" s="243">
        <v>0</v>
      </c>
      <c r="E44" s="243">
        <v>0</v>
      </c>
      <c r="F44" s="243">
        <v>0</v>
      </c>
      <c r="G44" s="243"/>
    </row>
    <row r="45" spans="1:7" s="177" customFormat="1" ht="15" customHeight="1">
      <c r="A45" s="170" t="s">
        <v>19</v>
      </c>
      <c r="B45" s="12"/>
      <c r="C45" s="67" t="s">
        <v>782</v>
      </c>
      <c r="D45" s="209">
        <v>0</v>
      </c>
      <c r="E45" s="209">
        <v>0</v>
      </c>
      <c r="F45" s="209">
        <v>0</v>
      </c>
      <c r="G45" s="209"/>
    </row>
    <row r="46" spans="1:7" s="177" customFormat="1" ht="15" customHeight="1">
      <c r="A46" s="170"/>
      <c r="B46" s="12"/>
      <c r="C46" s="67" t="s">
        <v>783</v>
      </c>
      <c r="D46" s="209"/>
      <c r="E46" s="209"/>
      <c r="F46" s="209"/>
      <c r="G46" s="209"/>
    </row>
    <row r="47" spans="1:7" s="177" customFormat="1" ht="15" customHeight="1">
      <c r="A47" s="256" t="s">
        <v>149</v>
      </c>
      <c r="B47" s="257"/>
      <c r="C47" s="467" t="s">
        <v>784</v>
      </c>
      <c r="D47" s="258">
        <f>+D34+D40+D45</f>
        <v>93703</v>
      </c>
      <c r="E47" s="258">
        <f t="shared" ref="E47" si="6">+E34+E40+E45</f>
        <v>0</v>
      </c>
      <c r="F47" s="258">
        <f>+F34+F40+F45+F46</f>
        <v>0</v>
      </c>
      <c r="G47" s="258"/>
    </row>
    <row r="48" spans="1:7" s="177" customFormat="1" ht="15" customHeight="1">
      <c r="A48" s="230"/>
      <c r="B48" s="231"/>
      <c r="C48" s="231"/>
      <c r="D48" s="231"/>
      <c r="E48" s="231"/>
      <c r="F48" s="231"/>
      <c r="G48" s="231"/>
    </row>
    <row r="49" spans="1:7" s="177" customFormat="1" ht="15" customHeight="1">
      <c r="A49" s="232" t="s">
        <v>289</v>
      </c>
      <c r="B49" s="233"/>
      <c r="C49" s="234"/>
      <c r="D49" s="235">
        <v>27.5</v>
      </c>
      <c r="E49" s="235"/>
      <c r="F49" s="235"/>
      <c r="G49" s="235"/>
    </row>
    <row r="50" spans="1:7" s="177" customFormat="1" ht="15" customHeight="1">
      <c r="A50" s="232" t="s">
        <v>290</v>
      </c>
      <c r="B50" s="233"/>
      <c r="C50" s="234"/>
      <c r="D50" s="469"/>
      <c r="E50" s="469"/>
      <c r="F50" s="469"/>
      <c r="G50" s="469"/>
    </row>
  </sheetData>
  <sheetProtection selectLockedCells="1" selectUnlockedCells="1"/>
  <mergeCells count="6">
    <mergeCell ref="D1:G1"/>
    <mergeCell ref="A2:B2"/>
    <mergeCell ref="A3:B3"/>
    <mergeCell ref="A5:B5"/>
    <mergeCell ref="D2:D3"/>
    <mergeCell ref="D4:G4"/>
  </mergeCells>
  <printOptions horizontalCentered="1"/>
  <pageMargins left="0.39370078740157483" right="0.31496062992125984" top="0.31496062992125984" bottom="0.39370078740157483" header="0.15748031496062992" footer="0.15748031496062992"/>
  <pageSetup paperSize="9" scale="78" firstPageNumber="90" orientation="portrait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view="pageBreakPreview" zoomScaleSheetLayoutView="100" workbookViewId="0">
      <selection activeCell="L101" sqref="L101"/>
    </sheetView>
  </sheetViews>
  <sheetFormatPr defaultRowHeight="14.25"/>
  <cols>
    <col min="1" max="1" width="2.5" style="274" customWidth="1"/>
    <col min="2" max="2" width="3" style="274" customWidth="1"/>
    <col min="3" max="3" width="10.33203125" style="527" customWidth="1"/>
    <col min="4" max="4" width="51.83203125" style="274" customWidth="1"/>
    <col min="5" max="7" width="13.83203125" style="322" customWidth="1"/>
    <col min="8" max="8" width="9.1640625" style="322" customWidth="1"/>
    <col min="9" max="9" width="9.33203125" style="274"/>
    <col min="10" max="10" width="2.33203125" style="274" customWidth="1"/>
    <col min="11" max="11" width="10" style="274" customWidth="1"/>
    <col min="12" max="12" width="53.6640625" style="274" customWidth="1"/>
    <col min="13" max="16384" width="9.33203125" style="274"/>
  </cols>
  <sheetData>
    <row r="1" spans="1:8" ht="49.5" customHeight="1">
      <c r="A1" s="1938" t="s">
        <v>318</v>
      </c>
      <c r="B1" s="1938"/>
      <c r="C1" s="1938"/>
      <c r="D1" s="330" t="s">
        <v>846</v>
      </c>
      <c r="E1" s="528" t="s">
        <v>1258</v>
      </c>
      <c r="F1" s="528" t="s">
        <v>1926</v>
      </c>
      <c r="G1" s="528" t="s">
        <v>1924</v>
      </c>
      <c r="H1" s="528" t="s">
        <v>2</v>
      </c>
    </row>
    <row r="2" spans="1:8" ht="18" customHeight="1">
      <c r="A2" s="529" t="s">
        <v>847</v>
      </c>
      <c r="B2" s="530"/>
      <c r="C2" s="531"/>
      <c r="D2" s="1954" t="s">
        <v>848</v>
      </c>
      <c r="E2" s="1954"/>
      <c r="F2" s="533"/>
      <c r="G2" s="533"/>
      <c r="H2" s="533"/>
    </row>
    <row r="3" spans="1:8" ht="15" customHeight="1">
      <c r="A3" s="534"/>
      <c r="B3" s="535"/>
      <c r="C3" s="279"/>
      <c r="D3" s="536" t="s">
        <v>849</v>
      </c>
      <c r="E3" s="537"/>
      <c r="F3" s="537"/>
      <c r="G3" s="537"/>
      <c r="H3" s="537"/>
    </row>
    <row r="4" spans="1:8" ht="15" customHeight="1">
      <c r="A4" s="284"/>
      <c r="B4" s="535" t="s">
        <v>4</v>
      </c>
      <c r="C4" s="350"/>
      <c r="D4" s="538" t="s">
        <v>196</v>
      </c>
      <c r="E4" s="539"/>
      <c r="F4" s="539"/>
      <c r="G4" s="539"/>
      <c r="H4" s="539"/>
    </row>
    <row r="5" spans="1:8" ht="15" customHeight="1">
      <c r="A5" s="284"/>
      <c r="B5" s="540"/>
      <c r="C5" s="279" t="s">
        <v>102</v>
      </c>
      <c r="D5" s="297" t="s">
        <v>850</v>
      </c>
      <c r="E5" s="298"/>
      <c r="F5" s="298"/>
      <c r="G5" s="298">
        <v>6</v>
      </c>
      <c r="H5" s="298"/>
    </row>
    <row r="6" spans="1:8" ht="15" customHeight="1">
      <c r="A6" s="284"/>
      <c r="B6" s="540"/>
      <c r="C6" s="279" t="s">
        <v>104</v>
      </c>
      <c r="D6" s="297" t="s">
        <v>851</v>
      </c>
      <c r="E6" s="298">
        <v>0</v>
      </c>
      <c r="F6" s="298"/>
      <c r="G6" s="298">
        <v>0</v>
      </c>
      <c r="H6" s="298"/>
    </row>
    <row r="7" spans="1:8" ht="15" customHeight="1">
      <c r="A7" s="284"/>
      <c r="B7" s="540"/>
      <c r="C7" s="279" t="s">
        <v>106</v>
      </c>
      <c r="D7" s="297" t="s">
        <v>852</v>
      </c>
      <c r="E7" s="298">
        <f>SUM(E8)</f>
        <v>41663</v>
      </c>
      <c r="F7" s="298"/>
      <c r="G7" s="298">
        <f>SUM(G8)</f>
        <v>0</v>
      </c>
      <c r="H7" s="298"/>
    </row>
    <row r="8" spans="1:8" s="295" customFormat="1" ht="15" customHeight="1">
      <c r="A8" s="541"/>
      <c r="B8" s="542"/>
      <c r="C8" s="304" t="s">
        <v>389</v>
      </c>
      <c r="D8" s="301" t="s">
        <v>853</v>
      </c>
      <c r="E8" s="302">
        <f>SUM(E9+E14+E19)</f>
        <v>41663</v>
      </c>
      <c r="F8" s="302"/>
      <c r="G8" s="302">
        <f>SUM(G9+G14+G19)</f>
        <v>0</v>
      </c>
      <c r="H8" s="302"/>
    </row>
    <row r="9" spans="1:8" ht="15" customHeight="1">
      <c r="A9" s="284"/>
      <c r="B9" s="540"/>
      <c r="C9" s="350" t="s">
        <v>854</v>
      </c>
      <c r="D9" s="543" t="s">
        <v>855</v>
      </c>
      <c r="E9" s="298">
        <f>SUM(E10:E13)</f>
        <v>20630</v>
      </c>
      <c r="F9" s="298"/>
      <c r="G9" s="298">
        <f>SUM(G10:G13)</f>
        <v>0</v>
      </c>
      <c r="H9" s="298"/>
    </row>
    <row r="10" spans="1:8" ht="15" customHeight="1">
      <c r="A10" s="284"/>
      <c r="B10" s="540"/>
      <c r="C10" s="350" t="s">
        <v>856</v>
      </c>
      <c r="D10" s="544" t="s">
        <v>857</v>
      </c>
      <c r="E10" s="298">
        <v>8048</v>
      </c>
      <c r="F10" s="298"/>
      <c r="G10" s="298"/>
      <c r="H10" s="298"/>
    </row>
    <row r="11" spans="1:8" ht="15" customHeight="1">
      <c r="A11" s="284"/>
      <c r="B11" s="540"/>
      <c r="C11" s="350" t="s">
        <v>858</v>
      </c>
      <c r="D11" s="544" t="s">
        <v>859</v>
      </c>
      <c r="E11" s="298">
        <v>1478</v>
      </c>
      <c r="F11" s="298"/>
      <c r="G11" s="298"/>
      <c r="H11" s="298"/>
    </row>
    <row r="12" spans="1:8" ht="15" customHeight="1">
      <c r="A12" s="284"/>
      <c r="B12" s="540"/>
      <c r="C12" s="350" t="s">
        <v>860</v>
      </c>
      <c r="D12" s="544" t="s">
        <v>861</v>
      </c>
      <c r="E12" s="298">
        <v>6459</v>
      </c>
      <c r="F12" s="298"/>
      <c r="G12" s="298"/>
      <c r="H12" s="298"/>
    </row>
    <row r="13" spans="1:8" ht="15" customHeight="1">
      <c r="A13" s="284"/>
      <c r="B13" s="540"/>
      <c r="C13" s="350" t="s">
        <v>862</v>
      </c>
      <c r="D13" s="544" t="s">
        <v>863</v>
      </c>
      <c r="E13" s="298">
        <v>4645</v>
      </c>
      <c r="F13" s="298"/>
      <c r="G13" s="298"/>
      <c r="H13" s="298"/>
    </row>
    <row r="14" spans="1:8" ht="15" customHeight="1">
      <c r="A14" s="284"/>
      <c r="B14" s="540"/>
      <c r="C14" s="350" t="s">
        <v>864</v>
      </c>
      <c r="D14" s="543" t="s">
        <v>865</v>
      </c>
      <c r="E14" s="298">
        <f>SUM(E15:E18)</f>
        <v>15669</v>
      </c>
      <c r="F14" s="298"/>
      <c r="G14" s="298">
        <f>SUM(G15:G18)</f>
        <v>0</v>
      </c>
      <c r="H14" s="298"/>
    </row>
    <row r="15" spans="1:8" ht="15" customHeight="1">
      <c r="A15" s="284"/>
      <c r="B15" s="540"/>
      <c r="C15" s="350" t="s">
        <v>866</v>
      </c>
      <c r="D15" s="544" t="s">
        <v>857</v>
      </c>
      <c r="E15" s="298">
        <v>6112</v>
      </c>
      <c r="F15" s="298"/>
      <c r="G15" s="298"/>
      <c r="H15" s="298"/>
    </row>
    <row r="16" spans="1:8" ht="15" customHeight="1">
      <c r="A16" s="284"/>
      <c r="B16" s="540"/>
      <c r="C16" s="350" t="s">
        <v>867</v>
      </c>
      <c r="D16" s="544" t="s">
        <v>859</v>
      </c>
      <c r="E16" s="298">
        <v>1123</v>
      </c>
      <c r="F16" s="298"/>
      <c r="G16" s="298"/>
      <c r="H16" s="298"/>
    </row>
    <row r="17" spans="1:11" ht="15" customHeight="1">
      <c r="A17" s="284"/>
      <c r="B17" s="540"/>
      <c r="C17" s="350" t="s">
        <v>868</v>
      </c>
      <c r="D17" s="544" t="s">
        <v>861</v>
      </c>
      <c r="E17" s="298">
        <v>4906</v>
      </c>
      <c r="F17" s="298"/>
      <c r="G17" s="298"/>
      <c r="H17" s="298"/>
    </row>
    <row r="18" spans="1:11" ht="15" customHeight="1">
      <c r="A18" s="284"/>
      <c r="B18" s="540"/>
      <c r="C18" s="350" t="s">
        <v>869</v>
      </c>
      <c r="D18" s="544" t="s">
        <v>863</v>
      </c>
      <c r="E18" s="298">
        <v>3528</v>
      </c>
      <c r="F18" s="298"/>
      <c r="G18" s="298"/>
      <c r="H18" s="298"/>
    </row>
    <row r="19" spans="1:11" ht="15" customHeight="1">
      <c r="A19" s="284"/>
      <c r="B19" s="540"/>
      <c r="C19" s="350" t="s">
        <v>870</v>
      </c>
      <c r="D19" s="543" t="s">
        <v>871</v>
      </c>
      <c r="E19" s="298">
        <f>SUM(E20:E20)</f>
        <v>5364</v>
      </c>
      <c r="F19" s="298"/>
      <c r="G19" s="298">
        <f>SUM(G20:G20)</f>
        <v>0</v>
      </c>
      <c r="H19" s="298"/>
      <c r="K19" s="322">
        <f>SUM(E50-E26)</f>
        <v>0</v>
      </c>
    </row>
    <row r="20" spans="1:11" ht="15" customHeight="1">
      <c r="A20" s="284"/>
      <c r="B20" s="540"/>
      <c r="C20" s="350" t="s">
        <v>872</v>
      </c>
      <c r="D20" s="544" t="s">
        <v>857</v>
      </c>
      <c r="E20" s="355">
        <v>5364</v>
      </c>
      <c r="F20" s="298"/>
      <c r="G20" s="298"/>
      <c r="H20" s="298"/>
    </row>
    <row r="21" spans="1:11" ht="15" customHeight="1">
      <c r="A21" s="1195"/>
      <c r="B21" s="1196"/>
      <c r="C21" s="1197" t="s">
        <v>1833</v>
      </c>
      <c r="D21" s="1198" t="s">
        <v>1834</v>
      </c>
      <c r="E21" s="1199"/>
      <c r="F21" s="1200"/>
      <c r="G21" s="1200"/>
      <c r="H21" s="1200"/>
    </row>
    <row r="22" spans="1:11" ht="15" customHeight="1">
      <c r="A22" s="284"/>
      <c r="B22" s="540"/>
      <c r="C22" s="279" t="s">
        <v>108</v>
      </c>
      <c r="D22" s="297" t="s">
        <v>429</v>
      </c>
      <c r="E22" s="298">
        <f>SUM(E23:E25)</f>
        <v>0</v>
      </c>
      <c r="F22" s="298"/>
      <c r="G22" s="298">
        <f>SUM(G23:G25)</f>
        <v>0</v>
      </c>
      <c r="H22" s="298"/>
    </row>
    <row r="23" spans="1:11" ht="15" customHeight="1">
      <c r="A23" s="284"/>
      <c r="B23" s="540"/>
      <c r="C23" s="350"/>
      <c r="D23" s="544" t="s">
        <v>861</v>
      </c>
      <c r="E23" s="298"/>
      <c r="F23" s="298"/>
      <c r="G23" s="298">
        <v>0</v>
      </c>
      <c r="H23" s="298"/>
      <c r="I23" s="322"/>
    </row>
    <row r="24" spans="1:11" ht="15" customHeight="1">
      <c r="A24" s="284"/>
      <c r="B24" s="540"/>
      <c r="C24" s="350"/>
      <c r="D24" s="544" t="s">
        <v>863</v>
      </c>
      <c r="E24" s="298"/>
      <c r="F24" s="298"/>
      <c r="G24" s="298">
        <v>0</v>
      </c>
      <c r="H24" s="298"/>
      <c r="I24" s="322"/>
    </row>
    <row r="25" spans="1:11" ht="15" customHeight="1">
      <c r="A25" s="284"/>
      <c r="B25" s="540"/>
      <c r="C25" s="350"/>
      <c r="D25" s="544" t="s">
        <v>859</v>
      </c>
      <c r="E25" s="298"/>
      <c r="F25" s="298"/>
      <c r="G25" s="298"/>
      <c r="H25" s="298"/>
      <c r="I25" s="322"/>
    </row>
    <row r="26" spans="1:11" ht="15" customHeight="1">
      <c r="A26" s="284"/>
      <c r="B26" s="540"/>
      <c r="C26" s="350"/>
      <c r="D26" s="545" t="s">
        <v>873</v>
      </c>
      <c r="E26" s="546">
        <f>SUM(E5+E7+E6+E22)</f>
        <v>41663</v>
      </c>
      <c r="F26" s="546"/>
      <c r="G26" s="546">
        <f>SUM(G5+G7+G6+G21+G22)</f>
        <v>6</v>
      </c>
      <c r="H26" s="546"/>
      <c r="I26" s="322"/>
    </row>
    <row r="27" spans="1:11" ht="15" customHeight="1">
      <c r="A27" s="284"/>
      <c r="B27" s="535" t="s">
        <v>5</v>
      </c>
      <c r="C27" s="351"/>
      <c r="D27" s="538" t="s">
        <v>197</v>
      </c>
      <c r="E27" s="539"/>
      <c r="F27" s="539"/>
      <c r="G27" s="539"/>
      <c r="H27" s="539"/>
      <c r="I27" s="322"/>
    </row>
    <row r="28" spans="1:11" ht="15" customHeight="1">
      <c r="A28" s="284"/>
      <c r="B28" s="540"/>
      <c r="C28" s="351" t="s">
        <v>6</v>
      </c>
      <c r="D28" s="297" t="s">
        <v>508</v>
      </c>
      <c r="E28" s="298">
        <f>SUM(E29:E32)</f>
        <v>25223</v>
      </c>
      <c r="F28" s="298"/>
      <c r="G28" s="298">
        <f>SUM(G29:G32)</f>
        <v>0</v>
      </c>
      <c r="H28" s="298"/>
      <c r="I28" s="322"/>
    </row>
    <row r="29" spans="1:11" ht="15" customHeight="1">
      <c r="A29" s="284"/>
      <c r="B29" s="540"/>
      <c r="C29" s="351" t="s">
        <v>457</v>
      </c>
      <c r="D29" s="544" t="s">
        <v>857</v>
      </c>
      <c r="E29" s="298">
        <v>11629</v>
      </c>
      <c r="F29" s="298"/>
      <c r="G29" s="298"/>
      <c r="H29" s="298"/>
      <c r="I29" s="322"/>
    </row>
    <row r="30" spans="1:11" ht="15" customHeight="1">
      <c r="A30" s="284"/>
      <c r="B30" s="540"/>
      <c r="C30" s="351" t="s">
        <v>475</v>
      </c>
      <c r="D30" s="544" t="s">
        <v>859</v>
      </c>
      <c r="E30" s="298">
        <v>969</v>
      </c>
      <c r="F30" s="298"/>
      <c r="G30" s="298"/>
      <c r="H30" s="298"/>
      <c r="I30" s="322"/>
    </row>
    <row r="31" spans="1:11" ht="15" customHeight="1">
      <c r="A31" s="284"/>
      <c r="B31" s="540"/>
      <c r="C31" s="351" t="s">
        <v>415</v>
      </c>
      <c r="D31" s="544" t="s">
        <v>861</v>
      </c>
      <c r="E31" s="298">
        <v>6738</v>
      </c>
      <c r="F31" s="298"/>
      <c r="G31" s="298"/>
      <c r="H31" s="298"/>
      <c r="I31" s="322"/>
    </row>
    <row r="32" spans="1:11" ht="15" customHeight="1">
      <c r="A32" s="284"/>
      <c r="B32" s="540"/>
      <c r="C32" s="351" t="s">
        <v>806</v>
      </c>
      <c r="D32" s="544" t="s">
        <v>863</v>
      </c>
      <c r="E32" s="298">
        <v>5887</v>
      </c>
      <c r="F32" s="298"/>
      <c r="G32" s="298"/>
      <c r="H32" s="298"/>
      <c r="I32" s="322"/>
    </row>
    <row r="33" spans="1:9" ht="15" customHeight="1">
      <c r="A33" s="284"/>
      <c r="B33" s="540"/>
      <c r="C33" s="351" t="s">
        <v>8</v>
      </c>
      <c r="D33" s="297" t="s">
        <v>509</v>
      </c>
      <c r="E33" s="298">
        <f>SUM(E34:E37)</f>
        <v>6603</v>
      </c>
      <c r="F33" s="298"/>
      <c r="G33" s="298">
        <f>SUM(G34:G37)</f>
        <v>0</v>
      </c>
      <c r="H33" s="298"/>
      <c r="I33" s="322"/>
    </row>
    <row r="34" spans="1:9" ht="15" customHeight="1">
      <c r="A34" s="284"/>
      <c r="B34" s="540"/>
      <c r="C34" s="351" t="s">
        <v>479</v>
      </c>
      <c r="D34" s="544" t="s">
        <v>857</v>
      </c>
      <c r="E34" s="298">
        <v>3029</v>
      </c>
      <c r="F34" s="298"/>
      <c r="G34" s="298"/>
      <c r="H34" s="298"/>
      <c r="I34" s="322"/>
    </row>
    <row r="35" spans="1:9" ht="15" customHeight="1">
      <c r="A35" s="284"/>
      <c r="B35" s="540"/>
      <c r="C35" s="351" t="s">
        <v>874</v>
      </c>
      <c r="D35" s="544" t="s">
        <v>859</v>
      </c>
      <c r="E35" s="298">
        <v>248</v>
      </c>
      <c r="F35" s="298"/>
      <c r="G35" s="298"/>
      <c r="H35" s="298"/>
      <c r="I35" s="322"/>
    </row>
    <row r="36" spans="1:9" ht="15" customHeight="1">
      <c r="A36" s="284"/>
      <c r="B36" s="540"/>
      <c r="C36" s="351" t="s">
        <v>875</v>
      </c>
      <c r="D36" s="544" t="s">
        <v>861</v>
      </c>
      <c r="E36" s="298">
        <v>1780</v>
      </c>
      <c r="F36" s="298"/>
      <c r="G36" s="298"/>
      <c r="H36" s="298"/>
      <c r="I36" s="322"/>
    </row>
    <row r="37" spans="1:9" ht="15" customHeight="1">
      <c r="A37" s="284"/>
      <c r="B37" s="540"/>
      <c r="C37" s="351" t="s">
        <v>876</v>
      </c>
      <c r="D37" s="544" t="s">
        <v>863</v>
      </c>
      <c r="E37" s="298">
        <v>1546</v>
      </c>
      <c r="F37" s="298"/>
      <c r="G37" s="298"/>
      <c r="H37" s="298"/>
      <c r="I37" s="322"/>
    </row>
    <row r="38" spans="1:9" ht="15" customHeight="1">
      <c r="A38" s="284"/>
      <c r="B38" s="540"/>
      <c r="C38" s="351" t="s">
        <v>10</v>
      </c>
      <c r="D38" s="297" t="s">
        <v>201</v>
      </c>
      <c r="E38" s="298">
        <f>SUM(E39:E42)</f>
        <v>5690</v>
      </c>
      <c r="F38" s="298"/>
      <c r="G38" s="298">
        <f>SUM(G39:G42)</f>
        <v>0</v>
      </c>
      <c r="H38" s="298"/>
      <c r="I38" s="322"/>
    </row>
    <row r="39" spans="1:9" ht="15" customHeight="1">
      <c r="A39" s="284"/>
      <c r="B39" s="540"/>
      <c r="C39" s="351" t="s">
        <v>480</v>
      </c>
      <c r="D39" s="544" t="s">
        <v>857</v>
      </c>
      <c r="E39" s="298">
        <v>4864</v>
      </c>
      <c r="F39" s="298"/>
      <c r="G39" s="298"/>
      <c r="H39" s="298"/>
      <c r="I39" s="322"/>
    </row>
    <row r="40" spans="1:9" ht="15" customHeight="1">
      <c r="A40" s="284"/>
      <c r="B40" s="540"/>
      <c r="C40" s="351" t="s">
        <v>724</v>
      </c>
      <c r="D40" s="544" t="s">
        <v>859</v>
      </c>
      <c r="E40" s="298">
        <v>733</v>
      </c>
      <c r="F40" s="298"/>
      <c r="G40" s="298"/>
      <c r="H40" s="298"/>
      <c r="I40" s="322"/>
    </row>
    <row r="41" spans="1:9" ht="15" customHeight="1">
      <c r="A41" s="284"/>
      <c r="B41" s="540"/>
      <c r="C41" s="351" t="s">
        <v>725</v>
      </c>
      <c r="D41" s="544" t="s">
        <v>861</v>
      </c>
      <c r="E41" s="298">
        <v>35</v>
      </c>
      <c r="F41" s="298"/>
      <c r="G41" s="298"/>
      <c r="H41" s="298"/>
      <c r="I41" s="322"/>
    </row>
    <row r="42" spans="1:9" ht="15" customHeight="1">
      <c r="A42" s="284"/>
      <c r="B42" s="540"/>
      <c r="C42" s="351" t="s">
        <v>877</v>
      </c>
      <c r="D42" s="544" t="s">
        <v>863</v>
      </c>
      <c r="E42" s="298">
        <v>58</v>
      </c>
      <c r="F42" s="298"/>
      <c r="G42" s="298"/>
      <c r="H42" s="298"/>
      <c r="I42" s="322"/>
    </row>
    <row r="43" spans="1:9" ht="15" customHeight="1">
      <c r="A43" s="284"/>
      <c r="B43" s="540"/>
      <c r="C43" s="351" t="s">
        <v>12</v>
      </c>
      <c r="D43" s="297" t="s">
        <v>878</v>
      </c>
      <c r="E43" s="298">
        <f>SUM(E44:E46)</f>
        <v>4147</v>
      </c>
      <c r="F43" s="298"/>
      <c r="G43" s="298">
        <f>SUM(G44:G46)</f>
        <v>0</v>
      </c>
      <c r="H43" s="298"/>
    </row>
    <row r="44" spans="1:9" ht="15" customHeight="1">
      <c r="A44" s="284"/>
      <c r="B44" s="540"/>
      <c r="C44" s="351" t="s">
        <v>487</v>
      </c>
      <c r="D44" s="544" t="s">
        <v>861</v>
      </c>
      <c r="E44" s="298">
        <v>2813</v>
      </c>
      <c r="F44" s="298"/>
      <c r="G44" s="298"/>
      <c r="H44" s="298"/>
    </row>
    <row r="45" spans="1:9" ht="15" customHeight="1">
      <c r="A45" s="284"/>
      <c r="B45" s="540"/>
      <c r="C45" s="351" t="s">
        <v>879</v>
      </c>
      <c r="D45" s="544" t="s">
        <v>863</v>
      </c>
      <c r="E45" s="298">
        <v>682</v>
      </c>
      <c r="F45" s="298"/>
      <c r="G45" s="298"/>
      <c r="H45" s="298"/>
    </row>
    <row r="46" spans="1:9" ht="15" customHeight="1">
      <c r="A46" s="284"/>
      <c r="B46" s="540"/>
      <c r="C46" s="351" t="s">
        <v>880</v>
      </c>
      <c r="D46" s="544" t="s">
        <v>859</v>
      </c>
      <c r="E46" s="298">
        <v>652</v>
      </c>
      <c r="F46" s="298"/>
      <c r="G46" s="298"/>
      <c r="H46" s="298"/>
    </row>
    <row r="47" spans="1:9" ht="15" customHeight="1">
      <c r="A47" s="284"/>
      <c r="B47" s="540"/>
      <c r="C47" s="351" t="s">
        <v>14</v>
      </c>
      <c r="D47" s="297" t="s">
        <v>881</v>
      </c>
      <c r="E47" s="298"/>
      <c r="F47" s="298"/>
      <c r="G47" s="298"/>
      <c r="H47" s="298"/>
    </row>
    <row r="48" spans="1:9" ht="15" customHeight="1">
      <c r="A48" s="284"/>
      <c r="B48" s="540"/>
      <c r="C48" s="351" t="s">
        <v>308</v>
      </c>
      <c r="D48" s="297" t="s">
        <v>882</v>
      </c>
      <c r="E48" s="298"/>
      <c r="F48" s="298"/>
      <c r="G48" s="298"/>
      <c r="H48" s="298"/>
    </row>
    <row r="49" spans="1:11" ht="15" customHeight="1">
      <c r="A49" s="284"/>
      <c r="B49" s="540"/>
      <c r="C49" s="351" t="s">
        <v>18</v>
      </c>
      <c r="D49" s="297" t="s">
        <v>1253</v>
      </c>
      <c r="E49" s="298"/>
      <c r="F49" s="298"/>
      <c r="G49" s="298"/>
      <c r="H49" s="298"/>
    </row>
    <row r="50" spans="1:11" ht="15" customHeight="1">
      <c r="A50" s="284"/>
      <c r="B50" s="540"/>
      <c r="C50" s="351"/>
      <c r="D50" s="547" t="s">
        <v>884</v>
      </c>
      <c r="E50" s="546">
        <f>SUM(E28+E33+E38+E43+E47+E48+E49)</f>
        <v>41663</v>
      </c>
      <c r="F50" s="546"/>
      <c r="G50" s="546">
        <f>SUM(G28+G33+G38+G43+G47+G48+G49)</f>
        <v>0</v>
      </c>
      <c r="H50" s="546"/>
      <c r="K50" s="322"/>
    </row>
    <row r="51" spans="1:11" ht="15" customHeight="1">
      <c r="A51" s="284"/>
      <c r="B51" s="535" t="s">
        <v>19</v>
      </c>
      <c r="C51" s="280"/>
      <c r="D51" s="548" t="s">
        <v>885</v>
      </c>
      <c r="E51" s="410">
        <v>11.5</v>
      </c>
      <c r="F51" s="415"/>
      <c r="G51" s="415"/>
      <c r="H51" s="415"/>
    </row>
    <row r="52" spans="1:11" ht="15" customHeight="1">
      <c r="A52" s="529"/>
      <c r="B52" s="530"/>
      <c r="C52" s="531"/>
      <c r="D52" s="1955" t="s">
        <v>886</v>
      </c>
      <c r="E52" s="1955"/>
      <c r="F52" s="549"/>
      <c r="G52" s="549"/>
      <c r="H52" s="549"/>
    </row>
    <row r="53" spans="1:11" ht="15" customHeight="1">
      <c r="A53" s="284"/>
      <c r="B53" s="535" t="s">
        <v>4</v>
      </c>
      <c r="C53" s="350"/>
      <c r="D53" s="550" t="s">
        <v>196</v>
      </c>
      <c r="E53" s="551"/>
      <c r="F53" s="551"/>
      <c r="G53" s="551"/>
      <c r="H53" s="551"/>
    </row>
    <row r="54" spans="1:11" ht="15" customHeight="1">
      <c r="A54" s="284"/>
      <c r="B54" s="540"/>
      <c r="C54" s="279" t="s">
        <v>102</v>
      </c>
      <c r="D54" s="297" t="s">
        <v>850</v>
      </c>
      <c r="E54" s="298">
        <v>0</v>
      </c>
      <c r="F54" s="298"/>
      <c r="G54" s="298">
        <v>0</v>
      </c>
      <c r="H54" s="298"/>
    </row>
    <row r="55" spans="1:11" ht="15" customHeight="1">
      <c r="A55" s="284"/>
      <c r="B55" s="540"/>
      <c r="C55" s="279" t="s">
        <v>104</v>
      </c>
      <c r="D55" s="297" t="s">
        <v>851</v>
      </c>
      <c r="E55" s="298"/>
      <c r="F55" s="298"/>
      <c r="G55" s="298"/>
      <c r="H55" s="298"/>
    </row>
    <row r="56" spans="1:11" ht="15" customHeight="1">
      <c r="A56" s="284"/>
      <c r="B56" s="540"/>
      <c r="C56" s="279" t="s">
        <v>106</v>
      </c>
      <c r="D56" s="297" t="s">
        <v>852</v>
      </c>
      <c r="E56" s="298">
        <f>SUM(E58+E63+E68+E71)</f>
        <v>49116</v>
      </c>
      <c r="F56" s="298"/>
      <c r="G56" s="298">
        <f>SUM(G58+G63+G68+G71)</f>
        <v>0</v>
      </c>
      <c r="H56" s="298"/>
    </row>
    <row r="57" spans="1:11" s="295" customFormat="1" ht="15" customHeight="1">
      <c r="A57" s="541"/>
      <c r="B57" s="542"/>
      <c r="C57" s="304" t="s">
        <v>389</v>
      </c>
      <c r="D57" s="301" t="s">
        <v>853</v>
      </c>
      <c r="E57" s="302">
        <f>SUM(E58+E63+E68)</f>
        <v>49116</v>
      </c>
      <c r="F57" s="302"/>
      <c r="G57" s="302">
        <f>SUM(G58+G63+G68)</f>
        <v>0</v>
      </c>
      <c r="H57" s="302"/>
    </row>
    <row r="58" spans="1:11" ht="15" customHeight="1">
      <c r="A58" s="284"/>
      <c r="B58" s="540"/>
      <c r="C58" s="350" t="s">
        <v>854</v>
      </c>
      <c r="D58" s="543" t="s">
        <v>855</v>
      </c>
      <c r="E58" s="298">
        <f>SUM(E59:E62)</f>
        <v>20630</v>
      </c>
      <c r="F58" s="298"/>
      <c r="G58" s="298">
        <f>SUM(G59:G62)</f>
        <v>0</v>
      </c>
      <c r="H58" s="298"/>
    </row>
    <row r="59" spans="1:11" ht="15" customHeight="1">
      <c r="A59" s="284"/>
      <c r="B59" s="540"/>
      <c r="C59" s="350" t="s">
        <v>856</v>
      </c>
      <c r="D59" s="544" t="s">
        <v>857</v>
      </c>
      <c r="E59" s="298">
        <v>8048</v>
      </c>
      <c r="F59" s="298"/>
      <c r="G59" s="298"/>
      <c r="H59" s="298"/>
    </row>
    <row r="60" spans="1:11" ht="15" customHeight="1">
      <c r="A60" s="284"/>
      <c r="B60" s="540"/>
      <c r="C60" s="350" t="s">
        <v>858</v>
      </c>
      <c r="D60" s="544" t="s">
        <v>859</v>
      </c>
      <c r="E60" s="298">
        <v>1478</v>
      </c>
      <c r="F60" s="298"/>
      <c r="G60" s="298"/>
      <c r="H60" s="298"/>
    </row>
    <row r="61" spans="1:11" ht="15" customHeight="1">
      <c r="A61" s="284"/>
      <c r="B61" s="540"/>
      <c r="C61" s="350" t="s">
        <v>860</v>
      </c>
      <c r="D61" s="544" t="s">
        <v>861</v>
      </c>
      <c r="E61" s="298">
        <v>6459</v>
      </c>
      <c r="F61" s="298"/>
      <c r="G61" s="298"/>
      <c r="H61" s="298"/>
    </row>
    <row r="62" spans="1:11" ht="15" customHeight="1">
      <c r="A62" s="284"/>
      <c r="B62" s="540"/>
      <c r="C62" s="350" t="s">
        <v>862</v>
      </c>
      <c r="D62" s="544" t="s">
        <v>863</v>
      </c>
      <c r="E62" s="298">
        <v>4645</v>
      </c>
      <c r="F62" s="298"/>
      <c r="G62" s="298"/>
      <c r="H62" s="298"/>
    </row>
    <row r="63" spans="1:11" ht="15" customHeight="1">
      <c r="A63" s="284"/>
      <c r="B63" s="540"/>
      <c r="C63" s="350" t="s">
        <v>864</v>
      </c>
      <c r="D63" s="543" t="s">
        <v>865</v>
      </c>
      <c r="E63" s="298">
        <f>SUM(E64:E67)</f>
        <v>15669</v>
      </c>
      <c r="F63" s="298"/>
      <c r="G63" s="298">
        <f>SUM(G64:G67)</f>
        <v>0</v>
      </c>
      <c r="H63" s="298"/>
    </row>
    <row r="64" spans="1:11" ht="15" customHeight="1">
      <c r="A64" s="284"/>
      <c r="B64" s="540"/>
      <c r="C64" s="350" t="s">
        <v>866</v>
      </c>
      <c r="D64" s="544" t="s">
        <v>857</v>
      </c>
      <c r="E64" s="298">
        <v>6112</v>
      </c>
      <c r="F64" s="298"/>
      <c r="G64" s="298"/>
      <c r="H64" s="298"/>
    </row>
    <row r="65" spans="1:12" ht="15" customHeight="1">
      <c r="A65" s="284"/>
      <c r="B65" s="540"/>
      <c r="C65" s="350" t="s">
        <v>867</v>
      </c>
      <c r="D65" s="544" t="s">
        <v>859</v>
      </c>
      <c r="E65" s="298">
        <v>1123</v>
      </c>
      <c r="F65" s="298"/>
      <c r="G65" s="298"/>
      <c r="H65" s="298"/>
    </row>
    <row r="66" spans="1:12" ht="15" customHeight="1">
      <c r="A66" s="284"/>
      <c r="B66" s="540"/>
      <c r="C66" s="350" t="s">
        <v>868</v>
      </c>
      <c r="D66" s="544" t="s">
        <v>861</v>
      </c>
      <c r="E66" s="298">
        <v>4906</v>
      </c>
      <c r="F66" s="298"/>
      <c r="G66" s="298"/>
      <c r="H66" s="298"/>
    </row>
    <row r="67" spans="1:12" ht="15" customHeight="1">
      <c r="A67" s="284"/>
      <c r="B67" s="540"/>
      <c r="C67" s="350" t="s">
        <v>869</v>
      </c>
      <c r="D67" s="544" t="s">
        <v>863</v>
      </c>
      <c r="E67" s="298">
        <v>3528</v>
      </c>
      <c r="F67" s="298"/>
      <c r="G67" s="298"/>
      <c r="H67" s="298"/>
      <c r="I67" s="322"/>
    </row>
    <row r="68" spans="1:12" ht="15" customHeight="1">
      <c r="A68" s="284"/>
      <c r="B68" s="540"/>
      <c r="C68" s="350" t="s">
        <v>870</v>
      </c>
      <c r="D68" s="543" t="s">
        <v>871</v>
      </c>
      <c r="E68" s="298">
        <f>SUM(E69:E69)</f>
        <v>12817</v>
      </c>
      <c r="F68" s="298"/>
      <c r="G68" s="298">
        <f>SUM(G69:G69)</f>
        <v>0</v>
      </c>
      <c r="H68" s="298"/>
    </row>
    <row r="69" spans="1:12" ht="15" customHeight="1">
      <c r="A69" s="284"/>
      <c r="B69" s="540"/>
      <c r="C69" s="350" t="s">
        <v>872</v>
      </c>
      <c r="D69" s="544" t="s">
        <v>857</v>
      </c>
      <c r="E69" s="355">
        <v>12817</v>
      </c>
      <c r="F69" s="298"/>
      <c r="G69" s="298"/>
      <c r="H69" s="298"/>
    </row>
    <row r="70" spans="1:12" ht="15" customHeight="1">
      <c r="A70" s="1195"/>
      <c r="B70" s="1196"/>
      <c r="C70" s="1197" t="s">
        <v>1833</v>
      </c>
      <c r="D70" s="1198" t="s">
        <v>1834</v>
      </c>
      <c r="E70" s="1199"/>
      <c r="F70" s="1200"/>
      <c r="G70" s="1200"/>
      <c r="H70" s="1200"/>
    </row>
    <row r="71" spans="1:12" s="295" customFormat="1" ht="15" customHeight="1">
      <c r="A71" s="541"/>
      <c r="B71" s="542"/>
      <c r="C71" s="304" t="s">
        <v>390</v>
      </c>
      <c r="D71" s="301" t="s">
        <v>887</v>
      </c>
      <c r="E71" s="552"/>
      <c r="F71" s="552"/>
      <c r="G71" s="552"/>
      <c r="H71" s="552"/>
      <c r="K71" s="349">
        <f>SUM(E100-E76)</f>
        <v>0</v>
      </c>
      <c r="L71" s="553"/>
    </row>
    <row r="72" spans="1:12" ht="15" customHeight="1">
      <c r="A72" s="284"/>
      <c r="B72" s="540"/>
      <c r="C72" s="279" t="s">
        <v>108</v>
      </c>
      <c r="D72" s="297" t="s">
        <v>429</v>
      </c>
      <c r="E72" s="298">
        <f>SUM(E73:E75)</f>
        <v>2924</v>
      </c>
      <c r="F72" s="298"/>
      <c r="G72" s="298">
        <f>SUM(G73:G75)</f>
        <v>0</v>
      </c>
      <c r="H72" s="298"/>
    </row>
    <row r="73" spans="1:12" ht="15" customHeight="1">
      <c r="A73" s="284"/>
      <c r="B73" s="540"/>
      <c r="C73" s="350" t="s">
        <v>428</v>
      </c>
      <c r="D73" s="544" t="s">
        <v>859</v>
      </c>
      <c r="E73" s="298">
        <v>903</v>
      </c>
      <c r="F73" s="298"/>
      <c r="G73" s="298"/>
      <c r="H73" s="298"/>
    </row>
    <row r="74" spans="1:12" ht="15" customHeight="1">
      <c r="A74" s="284"/>
      <c r="B74" s="540"/>
      <c r="C74" s="350" t="s">
        <v>525</v>
      </c>
      <c r="D74" s="544" t="s">
        <v>861</v>
      </c>
      <c r="E74" s="298">
        <v>1125</v>
      </c>
      <c r="F74" s="298"/>
      <c r="G74" s="298"/>
      <c r="H74" s="298"/>
    </row>
    <row r="75" spans="1:12" ht="15" customHeight="1">
      <c r="A75" s="284"/>
      <c r="B75" s="540"/>
      <c r="C75" s="350" t="s">
        <v>888</v>
      </c>
      <c r="D75" s="544" t="s">
        <v>863</v>
      </c>
      <c r="E75" s="298">
        <v>896</v>
      </c>
      <c r="F75" s="298"/>
      <c r="G75" s="298"/>
      <c r="H75" s="298"/>
    </row>
    <row r="76" spans="1:12" ht="15" customHeight="1">
      <c r="A76" s="284"/>
      <c r="B76" s="540"/>
      <c r="C76" s="350"/>
      <c r="D76" s="545" t="s">
        <v>873</v>
      </c>
      <c r="E76" s="546">
        <f>SUM(E54+E56+E55+E72)</f>
        <v>52040</v>
      </c>
      <c r="F76" s="546"/>
      <c r="G76" s="546">
        <f>SUM(G54+G56+G55+G70+G72)</f>
        <v>0</v>
      </c>
      <c r="H76" s="546"/>
      <c r="I76" s="322"/>
    </row>
    <row r="77" spans="1:12" ht="15" customHeight="1">
      <c r="A77" s="284"/>
      <c r="B77" s="535" t="s">
        <v>5</v>
      </c>
      <c r="C77" s="351"/>
      <c r="D77" s="538" t="s">
        <v>197</v>
      </c>
      <c r="E77" s="554"/>
      <c r="F77" s="554"/>
      <c r="G77" s="554"/>
      <c r="H77" s="554"/>
    </row>
    <row r="78" spans="1:12" ht="15" customHeight="1">
      <c r="A78" s="284"/>
      <c r="B78" s="540"/>
      <c r="C78" s="351" t="s">
        <v>6</v>
      </c>
      <c r="D78" s="297" t="s">
        <v>508</v>
      </c>
      <c r="E78" s="298">
        <f>SUM(E79:E82)</f>
        <v>36063</v>
      </c>
      <c r="F78" s="298"/>
      <c r="G78" s="298">
        <f>SUM(G79:G82)</f>
        <v>0</v>
      </c>
      <c r="H78" s="298"/>
    </row>
    <row r="79" spans="1:12" ht="15" customHeight="1">
      <c r="A79" s="284"/>
      <c r="B79" s="540"/>
      <c r="C79" s="351" t="s">
        <v>457</v>
      </c>
      <c r="D79" s="544" t="s">
        <v>857</v>
      </c>
      <c r="E79" s="298">
        <v>17912</v>
      </c>
      <c r="F79" s="298"/>
      <c r="G79" s="298"/>
      <c r="H79" s="298"/>
    </row>
    <row r="80" spans="1:12" ht="15" customHeight="1">
      <c r="A80" s="284"/>
      <c r="B80" s="540"/>
      <c r="C80" s="351" t="s">
        <v>475</v>
      </c>
      <c r="D80" s="544" t="s">
        <v>859</v>
      </c>
      <c r="E80" s="298">
        <v>1218</v>
      </c>
      <c r="F80" s="298"/>
      <c r="G80" s="298"/>
      <c r="H80" s="298"/>
    </row>
    <row r="81" spans="1:8" ht="15" customHeight="1">
      <c r="A81" s="284"/>
      <c r="B81" s="540"/>
      <c r="C81" s="351" t="s">
        <v>415</v>
      </c>
      <c r="D81" s="544" t="s">
        <v>861</v>
      </c>
      <c r="E81" s="298">
        <v>9822</v>
      </c>
      <c r="F81" s="298"/>
      <c r="G81" s="298"/>
      <c r="H81" s="298"/>
    </row>
    <row r="82" spans="1:8" ht="15" customHeight="1">
      <c r="A82" s="284"/>
      <c r="B82" s="540"/>
      <c r="C82" s="351" t="s">
        <v>806</v>
      </c>
      <c r="D82" s="544" t="s">
        <v>863</v>
      </c>
      <c r="E82" s="298">
        <v>7111</v>
      </c>
      <c r="F82" s="298"/>
      <c r="G82" s="298"/>
      <c r="H82" s="298"/>
    </row>
    <row r="83" spans="1:8" ht="15" customHeight="1">
      <c r="A83" s="284"/>
      <c r="B83" s="540"/>
      <c r="C83" s="351" t="s">
        <v>8</v>
      </c>
      <c r="D83" s="297" t="s">
        <v>509</v>
      </c>
      <c r="E83" s="298">
        <f>SUM(E84:E87)</f>
        <v>9535</v>
      </c>
      <c r="F83" s="298"/>
      <c r="G83" s="298">
        <f>SUM(G84:G87)</f>
        <v>0</v>
      </c>
      <c r="H83" s="298"/>
    </row>
    <row r="84" spans="1:8" ht="15" customHeight="1">
      <c r="A84" s="284"/>
      <c r="B84" s="540"/>
      <c r="C84" s="351" t="s">
        <v>479</v>
      </c>
      <c r="D84" s="544" t="s">
        <v>857</v>
      </c>
      <c r="E84" s="298">
        <v>4723</v>
      </c>
      <c r="F84" s="298"/>
      <c r="G84" s="298"/>
      <c r="H84" s="298"/>
    </row>
    <row r="85" spans="1:8" ht="15" customHeight="1">
      <c r="A85" s="284"/>
      <c r="B85" s="540"/>
      <c r="C85" s="351" t="s">
        <v>874</v>
      </c>
      <c r="D85" s="544" t="s">
        <v>859</v>
      </c>
      <c r="E85" s="298">
        <v>329</v>
      </c>
      <c r="F85" s="298"/>
      <c r="G85" s="298"/>
      <c r="H85" s="298"/>
    </row>
    <row r="86" spans="1:8" ht="15" customHeight="1">
      <c r="A86" s="284"/>
      <c r="B86" s="540"/>
      <c r="C86" s="351" t="s">
        <v>875</v>
      </c>
      <c r="D86" s="544" t="s">
        <v>861</v>
      </c>
      <c r="E86" s="298">
        <v>2612</v>
      </c>
      <c r="F86" s="298"/>
      <c r="G86" s="298"/>
      <c r="H86" s="298"/>
    </row>
    <row r="87" spans="1:8" ht="15" customHeight="1">
      <c r="A87" s="284"/>
      <c r="B87" s="540"/>
      <c r="C87" s="351" t="s">
        <v>876</v>
      </c>
      <c r="D87" s="544" t="s">
        <v>863</v>
      </c>
      <c r="E87" s="298">
        <v>1871</v>
      </c>
      <c r="F87" s="298"/>
      <c r="G87" s="298"/>
      <c r="H87" s="298"/>
    </row>
    <row r="88" spans="1:8" ht="15" customHeight="1">
      <c r="A88" s="284"/>
      <c r="B88" s="540"/>
      <c r="C88" s="351" t="s">
        <v>10</v>
      </c>
      <c r="D88" s="297" t="s">
        <v>201</v>
      </c>
      <c r="E88" s="298">
        <f>SUM(E89:E92)</f>
        <v>6442</v>
      </c>
      <c r="F88" s="298"/>
      <c r="G88" s="298">
        <f>SUM(G89:G92)</f>
        <v>0</v>
      </c>
      <c r="H88" s="298"/>
    </row>
    <row r="89" spans="1:8" ht="15" customHeight="1">
      <c r="A89" s="284"/>
      <c r="B89" s="540"/>
      <c r="C89" s="351" t="s">
        <v>480</v>
      </c>
      <c r="D89" s="544" t="s">
        <v>857</v>
      </c>
      <c r="E89" s="298">
        <v>4342</v>
      </c>
      <c r="F89" s="298"/>
      <c r="G89" s="298"/>
      <c r="H89" s="298"/>
    </row>
    <row r="90" spans="1:8" ht="15" customHeight="1">
      <c r="A90" s="284"/>
      <c r="B90" s="540"/>
      <c r="C90" s="351" t="s">
        <v>724</v>
      </c>
      <c r="D90" s="544" t="s">
        <v>859</v>
      </c>
      <c r="E90" s="298">
        <v>1958</v>
      </c>
      <c r="F90" s="298"/>
      <c r="G90" s="298"/>
      <c r="H90" s="298"/>
    </row>
    <row r="91" spans="1:8" ht="15" customHeight="1">
      <c r="A91" s="284"/>
      <c r="B91" s="540"/>
      <c r="C91" s="351" t="s">
        <v>725</v>
      </c>
      <c r="D91" s="544" t="s">
        <v>861</v>
      </c>
      <c r="E91" s="298">
        <v>55</v>
      </c>
      <c r="F91" s="298"/>
      <c r="G91" s="298"/>
      <c r="H91" s="298"/>
    </row>
    <row r="92" spans="1:8" ht="15" customHeight="1">
      <c r="A92" s="284"/>
      <c r="B92" s="540"/>
      <c r="C92" s="351" t="s">
        <v>877</v>
      </c>
      <c r="D92" s="544" t="s">
        <v>863</v>
      </c>
      <c r="E92" s="298">
        <v>87</v>
      </c>
      <c r="F92" s="298"/>
      <c r="G92" s="298"/>
      <c r="H92" s="298"/>
    </row>
    <row r="93" spans="1:8" ht="15" customHeight="1">
      <c r="A93" s="284"/>
      <c r="B93" s="540"/>
      <c r="C93" s="351" t="s">
        <v>12</v>
      </c>
      <c r="D93" s="297" t="s">
        <v>878</v>
      </c>
      <c r="E93" s="298"/>
      <c r="F93" s="298"/>
      <c r="G93" s="298"/>
      <c r="H93" s="298"/>
    </row>
    <row r="94" spans="1:8" ht="15" customHeight="1">
      <c r="A94" s="284"/>
      <c r="B94" s="540"/>
      <c r="C94" s="351" t="s">
        <v>487</v>
      </c>
      <c r="D94" s="544" t="s">
        <v>861</v>
      </c>
      <c r="E94" s="298"/>
      <c r="F94" s="298"/>
      <c r="G94" s="298"/>
      <c r="H94" s="298"/>
    </row>
    <row r="95" spans="1:8" ht="15" customHeight="1">
      <c r="A95" s="284"/>
      <c r="B95" s="540"/>
      <c r="C95" s="351" t="s">
        <v>879</v>
      </c>
      <c r="D95" s="544" t="s">
        <v>863</v>
      </c>
      <c r="E95" s="298"/>
      <c r="F95" s="298"/>
      <c r="G95" s="298"/>
      <c r="H95" s="298"/>
    </row>
    <row r="96" spans="1:8" ht="15" customHeight="1">
      <c r="A96" s="284"/>
      <c r="B96" s="540"/>
      <c r="C96" s="351" t="s">
        <v>880</v>
      </c>
      <c r="D96" s="544" t="s">
        <v>859</v>
      </c>
      <c r="E96" s="298"/>
      <c r="F96" s="298"/>
      <c r="G96" s="298"/>
      <c r="H96" s="298"/>
    </row>
    <row r="97" spans="1:11" ht="15" customHeight="1">
      <c r="A97" s="284"/>
      <c r="B97" s="540"/>
      <c r="C97" s="351" t="s">
        <v>14</v>
      </c>
      <c r="D97" s="297" t="s">
        <v>881</v>
      </c>
      <c r="E97" s="298"/>
      <c r="F97" s="298"/>
      <c r="G97" s="298"/>
      <c r="H97" s="298"/>
    </row>
    <row r="98" spans="1:11" ht="15" customHeight="1">
      <c r="A98" s="284"/>
      <c r="B98" s="540"/>
      <c r="C98" s="351" t="s">
        <v>16</v>
      </c>
      <c r="D98" s="297" t="s">
        <v>882</v>
      </c>
      <c r="E98" s="298"/>
      <c r="F98" s="298"/>
      <c r="G98" s="298"/>
      <c r="H98" s="298"/>
    </row>
    <row r="99" spans="1:11" ht="15" customHeight="1">
      <c r="A99" s="284"/>
      <c r="B99" s="540"/>
      <c r="C99" s="527" t="s">
        <v>18</v>
      </c>
      <c r="D99" s="297" t="s">
        <v>883</v>
      </c>
      <c r="E99" s="298"/>
      <c r="F99" s="298"/>
      <c r="G99" s="298"/>
      <c r="H99" s="298"/>
    </row>
    <row r="100" spans="1:11" ht="15" customHeight="1">
      <c r="A100" s="284"/>
      <c r="B100" s="540"/>
      <c r="C100" s="351"/>
      <c r="D100" s="547" t="s">
        <v>884</v>
      </c>
      <c r="E100" s="546">
        <f>SUM(E78+E83+E88+E93+E97+E98+E99)</f>
        <v>52040</v>
      </c>
      <c r="F100" s="546">
        <f>SUM(F78+F83+F88+F93+F97+F98+F99)</f>
        <v>0</v>
      </c>
      <c r="G100" s="546">
        <f>SUM(G78+G83+G88+G93+G97+G98+G99)</f>
        <v>0</v>
      </c>
      <c r="H100" s="546"/>
      <c r="K100" s="322"/>
    </row>
    <row r="101" spans="1:11" ht="15" customHeight="1">
      <c r="A101" s="284"/>
      <c r="B101" s="535" t="s">
        <v>19</v>
      </c>
      <c r="C101" s="280"/>
      <c r="D101" s="548" t="s">
        <v>885</v>
      </c>
      <c r="E101" s="415">
        <v>16</v>
      </c>
      <c r="F101" s="415"/>
      <c r="G101" s="415"/>
      <c r="H101" s="415"/>
    </row>
  </sheetData>
  <sheetProtection selectLockedCells="1" selectUnlockedCells="1"/>
  <mergeCells count="3">
    <mergeCell ref="A1:C1"/>
    <mergeCell ref="D2:E2"/>
    <mergeCell ref="D52:E52"/>
  </mergeCells>
  <printOptions horizontalCentered="1"/>
  <pageMargins left="0" right="0" top="0.9055118110236221" bottom="0.39370078740157483" header="0.23622047244094491" footer="0.11811023622047245"/>
  <pageSetup paperSize="9" scale="86" firstPageNumber="91" orientation="portrait" r:id="rId1"/>
  <headerFooter alignWithMargins="0">
    <oddHeader>&amp;C&amp;"Times New Roman,Félkövér"&amp;14
Tájékoztató a Mikró Kistérségi Társulás intézményeinek adatairól Vecsés vonatkozásában&amp;R&amp;"Times New Roman,Normál"&amp;12 5.9.1. sz. melléklet
Ezer Ft</oddHeader>
    <oddFooter>&amp;C- &amp;P -</oddFooter>
  </headerFooter>
  <rowBreaks count="1" manualBreakCount="1">
    <brk id="51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zoomScaleNormal="130" workbookViewId="0">
      <selection activeCell="K11" sqref="K11"/>
    </sheetView>
  </sheetViews>
  <sheetFormatPr defaultRowHeight="12.75"/>
  <cols>
    <col min="1" max="1" width="6.5" style="151" customWidth="1"/>
    <col min="2" max="2" width="9.6640625" style="152" customWidth="1"/>
    <col min="3" max="3" width="61.6640625" style="152" customWidth="1"/>
    <col min="4" max="4" width="13.6640625" style="152" customWidth="1"/>
    <col min="5" max="5" width="13.83203125" style="152" customWidth="1"/>
    <col min="6" max="6" width="12" style="152" customWidth="1"/>
    <col min="7" max="7" width="9.1640625" style="152" customWidth="1"/>
    <col min="8" max="16384" width="9.33203125" style="152"/>
  </cols>
  <sheetData>
    <row r="1" spans="1:7" s="523" customFormat="1" ht="15" customHeight="1">
      <c r="A1" s="433"/>
      <c r="B1" s="434"/>
      <c r="C1" s="435"/>
      <c r="D1" s="1944" t="s">
        <v>836</v>
      </c>
      <c r="E1" s="1944"/>
      <c r="F1" s="1944"/>
      <c r="G1" s="1944"/>
    </row>
    <row r="2" spans="1:7" s="524" customFormat="1" ht="30" customHeight="1">
      <c r="A2" s="1901" t="s">
        <v>760</v>
      </c>
      <c r="B2" s="1901"/>
      <c r="C2" s="153" t="s">
        <v>889</v>
      </c>
      <c r="D2" s="1950" t="s">
        <v>1259</v>
      </c>
      <c r="E2" s="456"/>
      <c r="F2" s="456"/>
      <c r="G2" s="456"/>
    </row>
    <row r="3" spans="1:7" s="524" customFormat="1" ht="30" customHeight="1" thickBot="1">
      <c r="A3" s="1901" t="s">
        <v>258</v>
      </c>
      <c r="B3" s="1901"/>
      <c r="C3" s="156" t="s">
        <v>890</v>
      </c>
      <c r="D3" s="1951"/>
      <c r="E3" s="437"/>
      <c r="F3" s="437"/>
      <c r="G3" s="437"/>
    </row>
    <row r="4" spans="1:7" s="524" customFormat="1" ht="15" customHeight="1" thickBot="1">
      <c r="A4" s="157"/>
      <c r="B4" s="157"/>
      <c r="C4" s="555"/>
      <c r="D4" s="1908" t="s">
        <v>194</v>
      </c>
      <c r="E4" s="1908"/>
      <c r="F4" s="1908"/>
      <c r="G4" s="1908"/>
    </row>
    <row r="5" spans="1:7" s="177" customFormat="1" ht="37.5" customHeight="1" thickBo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7" s="525" customFormat="1" ht="15" customHeight="1">
      <c r="A6" s="170">
        <v>1</v>
      </c>
      <c r="B6" s="461">
        <v>2</v>
      </c>
      <c r="C6" s="461">
        <v>3</v>
      </c>
      <c r="D6" s="462">
        <v>4</v>
      </c>
      <c r="E6" s="462">
        <v>5</v>
      </c>
      <c r="F6" s="462">
        <v>6</v>
      </c>
      <c r="G6" s="462">
        <v>7</v>
      </c>
    </row>
    <row r="7" spans="1:7" s="525" customFormat="1" ht="15" customHeight="1">
      <c r="A7" s="256"/>
      <c r="B7" s="257"/>
      <c r="C7" s="500" t="s">
        <v>196</v>
      </c>
      <c r="D7" s="258"/>
      <c r="E7" s="258"/>
      <c r="F7" s="258"/>
      <c r="G7" s="258"/>
    </row>
    <row r="8" spans="1:7" s="173" customFormat="1" ht="15" customHeight="1">
      <c r="A8" s="170" t="s">
        <v>4</v>
      </c>
      <c r="B8" s="171"/>
      <c r="C8" s="172" t="s">
        <v>762</v>
      </c>
      <c r="D8" s="111">
        <f>SUM(D9:D16)</f>
        <v>4119</v>
      </c>
      <c r="E8" s="111">
        <f t="shared" ref="E8:F8" si="0">SUM(E9:E16)</f>
        <v>4277</v>
      </c>
      <c r="F8" s="111">
        <f t="shared" si="0"/>
        <v>4277</v>
      </c>
      <c r="G8" s="111">
        <f>F8/E8*100</f>
        <v>100</v>
      </c>
    </row>
    <row r="9" spans="1:7" s="173" customFormat="1" ht="15" customHeight="1">
      <c r="A9" s="181"/>
      <c r="B9" s="175" t="s">
        <v>102</v>
      </c>
      <c r="C9" s="19" t="s">
        <v>22</v>
      </c>
      <c r="D9" s="245">
        <v>0</v>
      </c>
      <c r="E9" s="245">
        <v>0</v>
      </c>
      <c r="F9" s="245">
        <v>0</v>
      </c>
      <c r="G9" s="245"/>
    </row>
    <row r="10" spans="1:7" s="173" customFormat="1" ht="15" customHeight="1">
      <c r="A10" s="174"/>
      <c r="B10" s="175" t="s">
        <v>104</v>
      </c>
      <c r="C10" s="15" t="s">
        <v>24</v>
      </c>
      <c r="D10" s="243">
        <v>4119</v>
      </c>
      <c r="E10" s="243">
        <v>4275</v>
      </c>
      <c r="F10" s="243">
        <v>4275</v>
      </c>
      <c r="G10" s="243"/>
    </row>
    <row r="11" spans="1:7" s="173" customFormat="1" ht="15" customHeight="1">
      <c r="A11" s="174"/>
      <c r="B11" s="175" t="s">
        <v>106</v>
      </c>
      <c r="C11" s="15" t="s">
        <v>26</v>
      </c>
      <c r="D11" s="243">
        <v>0</v>
      </c>
      <c r="E11" s="243">
        <v>0</v>
      </c>
      <c r="F11" s="243">
        <v>0</v>
      </c>
      <c r="G11" s="243"/>
    </row>
    <row r="12" spans="1:7" s="173" customFormat="1" ht="15" customHeight="1">
      <c r="A12" s="174"/>
      <c r="B12" s="175" t="s">
        <v>108</v>
      </c>
      <c r="C12" s="15" t="s">
        <v>28</v>
      </c>
      <c r="D12" s="243">
        <v>0</v>
      </c>
      <c r="E12" s="243">
        <v>0</v>
      </c>
      <c r="F12" s="243"/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>
        <v>0</v>
      </c>
      <c r="E13" s="243">
        <v>0</v>
      </c>
      <c r="F13" s="243">
        <v>0</v>
      </c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4">
        <v>0</v>
      </c>
      <c r="E14" s="244">
        <v>0</v>
      </c>
      <c r="F14" s="244">
        <v>0</v>
      </c>
      <c r="G14" s="244"/>
    </row>
    <row r="15" spans="1:7" s="177" customFormat="1" ht="15" customHeight="1">
      <c r="A15" s="174"/>
      <c r="B15" s="175" t="s">
        <v>437</v>
      </c>
      <c r="C15" s="15" t="s">
        <v>34</v>
      </c>
      <c r="D15" s="243">
        <v>0</v>
      </c>
      <c r="E15" s="243">
        <v>2</v>
      </c>
      <c r="F15" s="243">
        <v>2</v>
      </c>
      <c r="G15" s="243"/>
    </row>
    <row r="16" spans="1:7" s="177" customFormat="1" ht="15" customHeight="1">
      <c r="A16" s="183"/>
      <c r="B16" s="184" t="s">
        <v>439</v>
      </c>
      <c r="C16" s="22" t="s">
        <v>36</v>
      </c>
      <c r="D16" s="246">
        <v>0</v>
      </c>
      <c r="E16" s="246">
        <v>0</v>
      </c>
      <c r="F16" s="246">
        <v>0</v>
      </c>
      <c r="G16" s="246"/>
    </row>
    <row r="17" spans="1:9" s="173" customFormat="1" ht="15" customHeight="1">
      <c r="A17" s="170" t="s">
        <v>5</v>
      </c>
      <c r="B17" s="171"/>
      <c r="C17" s="211" t="s">
        <v>1635</v>
      </c>
      <c r="D17" s="242">
        <f>SUM(D18:D22)</f>
        <v>15092</v>
      </c>
      <c r="E17" s="242">
        <f t="shared" ref="E17:F17" si="1">SUM(E18:E22)</f>
        <v>15404</v>
      </c>
      <c r="F17" s="242">
        <f t="shared" si="1"/>
        <v>15404</v>
      </c>
      <c r="G17" s="242">
        <f>F17/E17*100</f>
        <v>100</v>
      </c>
    </row>
    <row r="18" spans="1:9" s="177" customFormat="1" ht="15" customHeight="1">
      <c r="A18" s="174"/>
      <c r="B18" s="175" t="s">
        <v>6</v>
      </c>
      <c r="C18" s="27" t="s">
        <v>1636</v>
      </c>
      <c r="D18" s="243">
        <f>SUM('5.10.1..sz mell.'!E16+'5.10.1..sz mell.'!E22+'5.10.1..sz mell.'!E171)</f>
        <v>12768</v>
      </c>
      <c r="E18" s="243">
        <v>13625</v>
      </c>
      <c r="F18" s="243">
        <v>13625</v>
      </c>
      <c r="G18" s="243">
        <f>F18/E18*100</f>
        <v>100</v>
      </c>
    </row>
    <row r="19" spans="1:9" s="177" customFormat="1" ht="15" customHeight="1">
      <c r="A19" s="174"/>
      <c r="B19" s="175" t="s">
        <v>8</v>
      </c>
      <c r="C19" s="15" t="s">
        <v>1637</v>
      </c>
      <c r="D19" s="243">
        <v>0</v>
      </c>
      <c r="E19" s="243">
        <v>617</v>
      </c>
      <c r="F19" s="243">
        <v>617</v>
      </c>
      <c r="G19" s="243"/>
    </row>
    <row r="20" spans="1:9" s="177" customFormat="1" ht="15" customHeight="1">
      <c r="A20" s="174"/>
      <c r="B20" s="175" t="s">
        <v>10</v>
      </c>
      <c r="C20" s="15" t="s">
        <v>766</v>
      </c>
      <c r="D20" s="243">
        <v>0</v>
      </c>
      <c r="E20" s="243">
        <v>0</v>
      </c>
      <c r="F20" s="243">
        <v>0</v>
      </c>
      <c r="G20" s="243"/>
    </row>
    <row r="21" spans="1:9" s="177" customFormat="1" ht="15" customHeight="1">
      <c r="A21" s="174"/>
      <c r="B21" s="175" t="s">
        <v>12</v>
      </c>
      <c r="C21" s="15" t="s">
        <v>767</v>
      </c>
      <c r="D21" s="243">
        <v>2324</v>
      </c>
      <c r="E21" s="243">
        <v>1162</v>
      </c>
      <c r="F21" s="243">
        <v>1162</v>
      </c>
      <c r="G21" s="243">
        <f>F21/E21*100</f>
        <v>100</v>
      </c>
    </row>
    <row r="22" spans="1:9" s="177" customFormat="1" ht="15" customHeight="1">
      <c r="A22" s="174"/>
      <c r="B22" s="175" t="s">
        <v>14</v>
      </c>
      <c r="C22" s="15" t="s">
        <v>1254</v>
      </c>
      <c r="D22" s="243">
        <v>0</v>
      </c>
      <c r="E22" s="243">
        <v>0</v>
      </c>
      <c r="F22" s="243">
        <v>0</v>
      </c>
      <c r="G22" s="243"/>
    </row>
    <row r="23" spans="1:9" s="177" customFormat="1" ht="15" customHeight="1">
      <c r="A23" s="170" t="s">
        <v>19</v>
      </c>
      <c r="B23" s="12"/>
      <c r="C23" s="12" t="s">
        <v>768</v>
      </c>
      <c r="D23" s="209">
        <v>0</v>
      </c>
      <c r="E23" s="209">
        <v>0</v>
      </c>
      <c r="F23" s="209">
        <v>0</v>
      </c>
      <c r="G23" s="209"/>
    </row>
    <row r="24" spans="1:9" s="173" customFormat="1" ht="15" customHeight="1">
      <c r="A24" s="170" t="s">
        <v>149</v>
      </c>
      <c r="B24" s="171"/>
      <c r="C24" s="12" t="s">
        <v>810</v>
      </c>
      <c r="D24" s="209">
        <v>0</v>
      </c>
      <c r="E24" s="209">
        <v>0</v>
      </c>
      <c r="F24" s="209">
        <v>0</v>
      </c>
      <c r="G24" s="209"/>
    </row>
    <row r="25" spans="1:9" s="173" customFormat="1" ht="15" customHeight="1">
      <c r="A25" s="170" t="s">
        <v>38</v>
      </c>
      <c r="B25" s="198"/>
      <c r="C25" s="12" t="s">
        <v>811</v>
      </c>
      <c r="D25" s="254">
        <f>+D26+D27</f>
        <v>0</v>
      </c>
      <c r="E25" s="254">
        <f t="shared" ref="E25:F25" si="2">+E26+E27</f>
        <v>16</v>
      </c>
      <c r="F25" s="254">
        <f t="shared" si="2"/>
        <v>16</v>
      </c>
      <c r="G25" s="254"/>
    </row>
    <row r="26" spans="1:9" s="173" customFormat="1" ht="15" customHeight="1">
      <c r="A26" s="181"/>
      <c r="B26" s="188" t="s">
        <v>39</v>
      </c>
      <c r="C26" s="19" t="s">
        <v>772</v>
      </c>
      <c r="D26" s="255">
        <v>0</v>
      </c>
      <c r="E26" s="255">
        <v>16</v>
      </c>
      <c r="F26" s="255">
        <v>16</v>
      </c>
      <c r="G26" s="255"/>
    </row>
    <row r="27" spans="1:9" s="173" customFormat="1" ht="15" customHeight="1">
      <c r="A27" s="191"/>
      <c r="B27" s="192" t="s">
        <v>40</v>
      </c>
      <c r="C27" s="24" t="s">
        <v>773</v>
      </c>
      <c r="D27" s="249">
        <v>0</v>
      </c>
      <c r="E27" s="249">
        <v>0</v>
      </c>
      <c r="F27" s="249">
        <v>0</v>
      </c>
      <c r="G27" s="249"/>
    </row>
    <row r="28" spans="1:9" s="177" customFormat="1" ht="15" customHeight="1">
      <c r="A28" s="201" t="s">
        <v>48</v>
      </c>
      <c r="B28" s="202"/>
      <c r="C28" s="12" t="s">
        <v>812</v>
      </c>
      <c r="D28" s="209">
        <v>26133</v>
      </c>
      <c r="E28" s="209">
        <v>27577</v>
      </c>
      <c r="F28" s="209">
        <v>27577</v>
      </c>
      <c r="G28" s="209">
        <f>F28/E28*100</f>
        <v>100</v>
      </c>
      <c r="I28" s="190">
        <f>SUM(D46-D30)</f>
        <v>0</v>
      </c>
    </row>
    <row r="29" spans="1:9" s="177" customFormat="1" ht="15" customHeight="1">
      <c r="A29" s="201"/>
      <c r="B29" s="202"/>
      <c r="C29" s="12" t="s">
        <v>813</v>
      </c>
      <c r="D29" s="209"/>
      <c r="E29" s="209"/>
      <c r="F29" s="209">
        <v>-57</v>
      </c>
      <c r="G29" s="209"/>
    </row>
    <row r="30" spans="1:9" s="177" customFormat="1" ht="15" customHeight="1">
      <c r="A30" s="256" t="s">
        <v>178</v>
      </c>
      <c r="B30" s="257"/>
      <c r="C30" s="467" t="s">
        <v>814</v>
      </c>
      <c r="D30" s="258">
        <f>SUM(D8,D17,D23,D24,D25,D28)</f>
        <v>45344</v>
      </c>
      <c r="E30" s="258">
        <f t="shared" ref="E30" si="3">SUM(E8,E17,E23,E24,E25,E28)</f>
        <v>47274</v>
      </c>
      <c r="F30" s="258">
        <f>SUM(F8,F17,F23,F24,F25,F28,F29)</f>
        <v>47217</v>
      </c>
      <c r="G30" s="258">
        <f>F30/E30*100</f>
        <v>99.879426323137452</v>
      </c>
      <c r="I30" s="190"/>
    </row>
    <row r="31" spans="1:9" s="177" customFormat="1" ht="15" customHeight="1" thickBot="1">
      <c r="A31" s="449"/>
      <c r="B31" s="449"/>
      <c r="C31" s="468"/>
      <c r="D31" s="501"/>
      <c r="E31" s="501"/>
      <c r="F31" s="501"/>
      <c r="G31" s="501"/>
    </row>
    <row r="32" spans="1:9" s="525" customFormat="1" ht="15" customHeight="1" thickBot="1">
      <c r="A32" s="256"/>
      <c r="B32" s="257"/>
      <c r="C32" s="500" t="s">
        <v>197</v>
      </c>
      <c r="D32" s="258"/>
      <c r="E32" s="258"/>
      <c r="F32" s="258"/>
      <c r="G32" s="258"/>
    </row>
    <row r="33" spans="1:7" s="173" customFormat="1" ht="15" customHeight="1">
      <c r="A33" s="170" t="s">
        <v>4</v>
      </c>
      <c r="B33" s="12"/>
      <c r="C33" s="67" t="s">
        <v>101</v>
      </c>
      <c r="D33" s="242">
        <f>SUM(D34:D38)</f>
        <v>45344</v>
      </c>
      <c r="E33" s="242">
        <f t="shared" ref="E33:F33" si="4">SUM(E34:E38)</f>
        <v>46657</v>
      </c>
      <c r="F33" s="242">
        <f t="shared" si="4"/>
        <v>46657</v>
      </c>
      <c r="G33" s="242">
        <f>F33/E33*100</f>
        <v>100</v>
      </c>
    </row>
    <row r="34" spans="1:7" s="177" customFormat="1" ht="15" customHeight="1">
      <c r="A34" s="193"/>
      <c r="B34" s="220" t="s">
        <v>102</v>
      </c>
      <c r="C34" s="27" t="s">
        <v>103</v>
      </c>
      <c r="D34" s="250">
        <v>17907</v>
      </c>
      <c r="E34" s="250">
        <v>21821</v>
      </c>
      <c r="F34" s="250">
        <v>21821</v>
      </c>
      <c r="G34" s="250">
        <f>F34/E34*100</f>
        <v>100</v>
      </c>
    </row>
    <row r="35" spans="1:7" s="177" customFormat="1" ht="15" customHeight="1">
      <c r="A35" s="174"/>
      <c r="B35" s="189" t="s">
        <v>104</v>
      </c>
      <c r="C35" s="15" t="s">
        <v>105</v>
      </c>
      <c r="D35" s="243">
        <v>4749</v>
      </c>
      <c r="E35" s="243">
        <v>5104</v>
      </c>
      <c r="F35" s="243">
        <v>5104</v>
      </c>
      <c r="G35" s="243">
        <f>F35/E35*100</f>
        <v>100</v>
      </c>
    </row>
    <row r="36" spans="1:7" s="177" customFormat="1" ht="15" customHeight="1">
      <c r="A36" s="174"/>
      <c r="B36" s="189" t="s">
        <v>106</v>
      </c>
      <c r="C36" s="15" t="s">
        <v>107</v>
      </c>
      <c r="D36" s="243">
        <v>16849</v>
      </c>
      <c r="E36" s="243">
        <v>14846</v>
      </c>
      <c r="F36" s="243">
        <v>14846</v>
      </c>
      <c r="G36" s="243">
        <f>F36/E36*100</f>
        <v>100</v>
      </c>
    </row>
    <row r="37" spans="1:7" s="177" customFormat="1" ht="15" customHeight="1">
      <c r="A37" s="174"/>
      <c r="B37" s="189" t="s">
        <v>108</v>
      </c>
      <c r="C37" s="15" t="s">
        <v>109</v>
      </c>
      <c r="D37" s="243"/>
      <c r="E37" s="243"/>
      <c r="F37" s="243"/>
      <c r="G37" s="243"/>
    </row>
    <row r="38" spans="1:7" s="177" customFormat="1" ht="15" customHeight="1">
      <c r="A38" s="174"/>
      <c r="B38" s="189" t="s">
        <v>110</v>
      </c>
      <c r="C38" s="15" t="s">
        <v>111</v>
      </c>
      <c r="D38" s="243">
        <v>5839</v>
      </c>
      <c r="E38" s="243">
        <v>4886</v>
      </c>
      <c r="F38" s="243">
        <v>4886</v>
      </c>
      <c r="G38" s="243">
        <f>F38/E38*100</f>
        <v>100</v>
      </c>
    </row>
    <row r="39" spans="1:7" s="177" customFormat="1" ht="15" customHeight="1">
      <c r="A39" s="170" t="s">
        <v>5</v>
      </c>
      <c r="B39" s="12"/>
      <c r="C39" s="67" t="s">
        <v>787</v>
      </c>
      <c r="D39" s="242">
        <f>SUM(D40:D43)</f>
        <v>0</v>
      </c>
      <c r="E39" s="242">
        <f t="shared" ref="E39:F39" si="5">SUM(E40:E43)</f>
        <v>617</v>
      </c>
      <c r="F39" s="242">
        <f t="shared" si="5"/>
        <v>617</v>
      </c>
      <c r="G39" s="242"/>
    </row>
    <row r="40" spans="1:7" s="173" customFormat="1" ht="15" customHeight="1">
      <c r="A40" s="193"/>
      <c r="B40" s="220" t="s">
        <v>6</v>
      </c>
      <c r="C40" s="27" t="s">
        <v>780</v>
      </c>
      <c r="D40" s="250">
        <v>0</v>
      </c>
      <c r="E40" s="250">
        <v>617</v>
      </c>
      <c r="F40" s="250">
        <v>617</v>
      </c>
      <c r="G40" s="250"/>
    </row>
    <row r="41" spans="1:7" s="177" customFormat="1" ht="15" customHeight="1">
      <c r="A41" s="174"/>
      <c r="B41" s="189" t="s">
        <v>8</v>
      </c>
      <c r="C41" s="15" t="s">
        <v>134</v>
      </c>
      <c r="D41" s="243">
        <v>0</v>
      </c>
      <c r="E41" s="243">
        <v>0</v>
      </c>
      <c r="F41" s="243">
        <v>0</v>
      </c>
      <c r="G41" s="243"/>
    </row>
    <row r="42" spans="1:7" s="177" customFormat="1" ht="30" customHeight="1">
      <c r="A42" s="174"/>
      <c r="B42" s="189" t="s">
        <v>14</v>
      </c>
      <c r="C42" s="15" t="s">
        <v>137</v>
      </c>
      <c r="D42" s="243">
        <v>0</v>
      </c>
      <c r="E42" s="243">
        <v>0</v>
      </c>
      <c r="F42" s="243">
        <v>0</v>
      </c>
      <c r="G42" s="243"/>
    </row>
    <row r="43" spans="1:7" s="177" customFormat="1" ht="15" customHeight="1">
      <c r="A43" s="174"/>
      <c r="B43" s="189" t="s">
        <v>18</v>
      </c>
      <c r="C43" s="15" t="s">
        <v>781</v>
      </c>
      <c r="D43" s="243">
        <v>0</v>
      </c>
      <c r="E43" s="243">
        <v>0</v>
      </c>
      <c r="F43" s="243">
        <v>0</v>
      </c>
      <c r="G43" s="243"/>
    </row>
    <row r="44" spans="1:7" s="177" customFormat="1" ht="15" customHeight="1">
      <c r="A44" s="170" t="s">
        <v>19</v>
      </c>
      <c r="B44" s="12"/>
      <c r="C44" s="67" t="s">
        <v>782</v>
      </c>
      <c r="D44" s="209">
        <v>0</v>
      </c>
      <c r="E44" s="209">
        <v>0</v>
      </c>
      <c r="F44" s="209">
        <v>0</v>
      </c>
      <c r="G44" s="209"/>
    </row>
    <row r="45" spans="1:7" s="177" customFormat="1" ht="15" customHeight="1">
      <c r="A45" s="170"/>
      <c r="B45" s="12"/>
      <c r="C45" s="67" t="s">
        <v>783</v>
      </c>
      <c r="D45" s="209"/>
      <c r="E45" s="209"/>
      <c r="F45" s="209">
        <v>0</v>
      </c>
      <c r="G45" s="209"/>
    </row>
    <row r="46" spans="1:7" s="177" customFormat="1" ht="15" customHeight="1">
      <c r="A46" s="256" t="s">
        <v>149</v>
      </c>
      <c r="B46" s="257"/>
      <c r="C46" s="467" t="s">
        <v>784</v>
      </c>
      <c r="D46" s="258">
        <f>+D33+D39+D44</f>
        <v>45344</v>
      </c>
      <c r="E46" s="258">
        <f t="shared" ref="E46" si="6">+E33+E39+E44</f>
        <v>47274</v>
      </c>
      <c r="F46" s="258">
        <f>+F33+F39+F44+F45</f>
        <v>47274</v>
      </c>
      <c r="G46" s="258">
        <f>F46/E46*100</f>
        <v>100</v>
      </c>
    </row>
    <row r="47" spans="1:7" s="177" customFormat="1" ht="15" customHeight="1">
      <c r="A47" s="230"/>
      <c r="B47" s="231"/>
      <c r="C47" s="231"/>
      <c r="D47" s="231"/>
      <c r="E47" s="231"/>
      <c r="F47" s="231"/>
      <c r="G47" s="231"/>
    </row>
    <row r="48" spans="1:7" s="177" customFormat="1" ht="15" customHeight="1">
      <c r="A48" s="232" t="s">
        <v>289</v>
      </c>
      <c r="B48" s="233"/>
      <c r="C48" s="234"/>
      <c r="D48" s="235">
        <v>10.5</v>
      </c>
      <c r="E48" s="235">
        <v>13</v>
      </c>
      <c r="F48" s="235"/>
      <c r="G48" s="235"/>
    </row>
    <row r="49" spans="1:7" s="177" customFormat="1" ht="15" customHeight="1">
      <c r="A49" s="232" t="s">
        <v>290</v>
      </c>
      <c r="B49" s="233"/>
      <c r="C49" s="234"/>
      <c r="D49" s="469"/>
      <c r="E49" s="469"/>
      <c r="F49" s="469"/>
      <c r="G49" s="469"/>
    </row>
  </sheetData>
  <sheetProtection selectLockedCells="1" selectUnlockedCells="1"/>
  <mergeCells count="6">
    <mergeCell ref="D1:G1"/>
    <mergeCell ref="A2:B2"/>
    <mergeCell ref="A3:B3"/>
    <mergeCell ref="A5:B5"/>
    <mergeCell ref="D2:D3"/>
    <mergeCell ref="D4:G4"/>
  </mergeCells>
  <printOptions horizontalCentered="1"/>
  <pageMargins left="0.19685039370078741" right="0.23622047244094491" top="0.19685039370078741" bottom="0.35433070866141736" header="0.39370078740157483" footer="0.15748031496062992"/>
  <pageSetup paperSize="9" scale="84" firstPageNumber="93" orientation="portrait" r:id="rId1"/>
  <headerFooter alignWithMargins="0">
    <oddFooter>&amp;C&amp;11-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view="pageBreakPreview" topLeftCell="A124" zoomScale="130" zoomScaleSheetLayoutView="130" workbookViewId="0">
      <selection activeCell="K132" sqref="K132"/>
    </sheetView>
  </sheetViews>
  <sheetFormatPr defaultRowHeight="14.25"/>
  <cols>
    <col min="1" max="1" width="2.5" style="274" customWidth="1"/>
    <col min="2" max="2" width="3" style="274" customWidth="1"/>
    <col min="3" max="3" width="10.33203125" style="527" customWidth="1"/>
    <col min="4" max="4" width="47.33203125" style="274" customWidth="1"/>
    <col min="5" max="6" width="13.83203125" style="322" customWidth="1"/>
    <col min="7" max="7" width="13.33203125" style="322" customWidth="1"/>
    <col min="8" max="8" width="8.6640625" style="322" customWidth="1"/>
    <col min="9" max="9" width="9.33203125" style="274"/>
    <col min="10" max="10" width="2.33203125" style="274" customWidth="1"/>
    <col min="11" max="11" width="10" style="274" customWidth="1"/>
    <col min="12" max="12" width="53.6640625" style="274" customWidth="1"/>
    <col min="13" max="16384" width="9.33203125" style="274"/>
  </cols>
  <sheetData>
    <row r="1" spans="1:8" ht="46.5" customHeight="1">
      <c r="A1" s="1938" t="s">
        <v>318</v>
      </c>
      <c r="B1" s="1938"/>
      <c r="C1" s="1938"/>
      <c r="D1" s="276" t="s">
        <v>846</v>
      </c>
      <c r="E1" s="556" t="s">
        <v>1258</v>
      </c>
      <c r="F1" s="556" t="s">
        <v>1921</v>
      </c>
      <c r="G1" s="556" t="s">
        <v>1925</v>
      </c>
      <c r="H1" s="556" t="s">
        <v>2</v>
      </c>
    </row>
    <row r="2" spans="1:8" ht="18" customHeight="1">
      <c r="A2" s="529"/>
      <c r="B2" s="530"/>
      <c r="C2" s="557"/>
      <c r="D2" s="1956" t="s">
        <v>889</v>
      </c>
      <c r="E2" s="1956"/>
      <c r="F2" s="1956"/>
      <c r="G2" s="1956"/>
      <c r="H2" s="1956"/>
    </row>
    <row r="3" spans="1:8" ht="16.5">
      <c r="A3" s="558"/>
      <c r="B3" s="559"/>
      <c r="C3" s="560"/>
      <c r="D3" s="1957" t="s">
        <v>891</v>
      </c>
      <c r="E3" s="1957"/>
      <c r="F3" s="561"/>
      <c r="G3" s="561"/>
      <c r="H3" s="561"/>
    </row>
    <row r="4" spans="1:8" ht="16.5">
      <c r="A4" s="284"/>
      <c r="B4" s="535" t="s">
        <v>4</v>
      </c>
      <c r="C4" s="351"/>
      <c r="D4" s="538" t="s">
        <v>196</v>
      </c>
      <c r="E4" s="554"/>
      <c r="F4" s="554"/>
      <c r="G4" s="554"/>
      <c r="H4" s="554"/>
    </row>
    <row r="5" spans="1:8" ht="16.5">
      <c r="A5" s="284"/>
      <c r="B5" s="540"/>
      <c r="C5" s="279" t="s">
        <v>102</v>
      </c>
      <c r="D5" s="297" t="s">
        <v>850</v>
      </c>
      <c r="E5" s="298">
        <f>SUM(E11:E12)</f>
        <v>1027</v>
      </c>
      <c r="F5" s="1251">
        <v>1027</v>
      </c>
      <c r="G5" s="298">
        <f t="shared" ref="G5" si="0">SUM(G11:G12)</f>
        <v>0</v>
      </c>
      <c r="H5" s="298">
        <f>G5/F5*100</f>
        <v>0</v>
      </c>
    </row>
    <row r="6" spans="1:8" ht="16.5" hidden="1">
      <c r="A6" s="284"/>
      <c r="B6" s="540"/>
      <c r="C6" s="350" t="s">
        <v>184</v>
      </c>
      <c r="D6" s="297" t="s">
        <v>850</v>
      </c>
      <c r="E6" s="298"/>
      <c r="F6" s="1251"/>
      <c r="G6" s="298"/>
      <c r="H6" s="298" t="e">
        <f t="shared" ref="H6:H12" si="1">G6/F6*100</f>
        <v>#DIV/0!</v>
      </c>
    </row>
    <row r="7" spans="1:8" ht="16.5" hidden="1">
      <c r="A7" s="284"/>
      <c r="B7" s="540"/>
      <c r="C7" s="350" t="s">
        <v>893</v>
      </c>
      <c r="D7" s="297" t="s">
        <v>850</v>
      </c>
      <c r="E7" s="298"/>
      <c r="F7" s="1251"/>
      <c r="G7" s="298"/>
      <c r="H7" s="298" t="e">
        <f t="shared" si="1"/>
        <v>#DIV/0!</v>
      </c>
    </row>
    <row r="8" spans="1:8" ht="16.5" hidden="1">
      <c r="A8" s="284"/>
      <c r="B8" s="540"/>
      <c r="C8" s="350" t="s">
        <v>895</v>
      </c>
      <c r="D8" s="297" t="s">
        <v>850</v>
      </c>
      <c r="E8" s="298"/>
      <c r="F8" s="1251"/>
      <c r="G8" s="298"/>
      <c r="H8" s="298" t="e">
        <f t="shared" si="1"/>
        <v>#DIV/0!</v>
      </c>
    </row>
    <row r="9" spans="1:8" ht="16.5" hidden="1">
      <c r="A9" s="284"/>
      <c r="B9" s="540"/>
      <c r="C9" s="350" t="s">
        <v>896</v>
      </c>
      <c r="D9" s="297" t="s">
        <v>850</v>
      </c>
      <c r="E9" s="298"/>
      <c r="F9" s="1251"/>
      <c r="G9" s="298"/>
      <c r="H9" s="298" t="e">
        <f t="shared" si="1"/>
        <v>#DIV/0!</v>
      </c>
    </row>
    <row r="10" spans="1:8" ht="16.5" hidden="1">
      <c r="A10" s="284"/>
      <c r="B10" s="540"/>
      <c r="C10" s="350" t="s">
        <v>898</v>
      </c>
      <c r="D10" s="297" t="s">
        <v>850</v>
      </c>
      <c r="E10" s="298"/>
      <c r="F10" s="1251"/>
      <c r="G10" s="298"/>
      <c r="H10" s="298" t="e">
        <f t="shared" si="1"/>
        <v>#DIV/0!</v>
      </c>
    </row>
    <row r="11" spans="1:8" ht="16.5">
      <c r="A11" s="284"/>
      <c r="B11" s="540"/>
      <c r="C11" s="350"/>
      <c r="D11" s="297" t="s">
        <v>1383</v>
      </c>
      <c r="E11" s="298">
        <v>925</v>
      </c>
      <c r="F11" s="1251">
        <v>925</v>
      </c>
      <c r="G11" s="298"/>
      <c r="H11" s="298">
        <f t="shared" si="1"/>
        <v>0</v>
      </c>
    </row>
    <row r="12" spans="1:8" ht="16.5">
      <c r="A12" s="284"/>
      <c r="B12" s="540"/>
      <c r="C12" s="350"/>
      <c r="D12" s="297" t="s">
        <v>1384</v>
      </c>
      <c r="E12" s="298">
        <v>102</v>
      </c>
      <c r="F12" s="1251">
        <v>102</v>
      </c>
      <c r="G12" s="298"/>
      <c r="H12" s="298">
        <f t="shared" si="1"/>
        <v>0</v>
      </c>
    </row>
    <row r="13" spans="1:8" ht="16.5">
      <c r="A13" s="284"/>
      <c r="B13" s="540"/>
      <c r="C13" s="279" t="s">
        <v>104</v>
      </c>
      <c r="D13" s="297" t="s">
        <v>900</v>
      </c>
      <c r="E13" s="298"/>
      <c r="F13" s="1251"/>
      <c r="G13" s="298"/>
      <c r="H13" s="298"/>
    </row>
    <row r="14" spans="1:8" ht="16.5">
      <c r="A14" s="284"/>
      <c r="B14" s="540"/>
      <c r="C14" s="279" t="s">
        <v>106</v>
      </c>
      <c r="D14" s="297" t="s">
        <v>852</v>
      </c>
      <c r="E14" s="298">
        <f>SUM(E15+E30)</f>
        <v>21042</v>
      </c>
      <c r="F14" s="1251">
        <f>SUM(F15+F30)</f>
        <v>23136</v>
      </c>
      <c r="G14" s="298">
        <f>SUM(G15+G30)</f>
        <v>0</v>
      </c>
      <c r="H14" s="298">
        <f t="shared" ref="H14:H73" si="2">G14/F14*100</f>
        <v>0</v>
      </c>
    </row>
    <row r="15" spans="1:8" ht="16.5">
      <c r="A15" s="541"/>
      <c r="B15" s="542"/>
      <c r="C15" s="304" t="s">
        <v>389</v>
      </c>
      <c r="D15" s="301" t="s">
        <v>853</v>
      </c>
      <c r="E15" s="302">
        <f>SUM(E16+E22+E27)</f>
        <v>21042</v>
      </c>
      <c r="F15" s="1252">
        <f>SUM(F16+F22+F27)</f>
        <v>23136</v>
      </c>
      <c r="G15" s="302">
        <f>SUM(G16+G22+G27)</f>
        <v>0</v>
      </c>
      <c r="H15" s="302">
        <f t="shared" si="2"/>
        <v>0</v>
      </c>
    </row>
    <row r="16" spans="1:8" ht="16.5">
      <c r="A16" s="284"/>
      <c r="B16" s="540"/>
      <c r="C16" s="350" t="s">
        <v>854</v>
      </c>
      <c r="D16" s="297" t="s">
        <v>1284</v>
      </c>
      <c r="E16" s="298">
        <f>SUM(E17:E21)</f>
        <v>8339</v>
      </c>
      <c r="F16" s="1251">
        <f>SUM(F17:F20)</f>
        <v>8642</v>
      </c>
      <c r="G16" s="298">
        <f t="shared" ref="G16" si="3">SUM(G17:G21)</f>
        <v>0</v>
      </c>
      <c r="H16" s="298">
        <f t="shared" si="2"/>
        <v>0</v>
      </c>
    </row>
    <row r="17" spans="1:11" ht="16.5">
      <c r="A17" s="284"/>
      <c r="B17" s="540"/>
      <c r="C17" s="350" t="s">
        <v>856</v>
      </c>
      <c r="D17" s="544" t="s">
        <v>857</v>
      </c>
      <c r="E17" s="298">
        <v>4905</v>
      </c>
      <c r="F17" s="1251">
        <v>5242</v>
      </c>
      <c r="G17" s="298"/>
      <c r="H17" s="298">
        <f t="shared" si="2"/>
        <v>0</v>
      </c>
    </row>
    <row r="18" spans="1:11" ht="16.5">
      <c r="A18" s="284"/>
      <c r="B18" s="540"/>
      <c r="C18" s="350" t="s">
        <v>858</v>
      </c>
      <c r="D18" s="544" t="s">
        <v>861</v>
      </c>
      <c r="E18" s="298">
        <v>2943</v>
      </c>
      <c r="F18" s="1251">
        <v>3073</v>
      </c>
      <c r="G18" s="298"/>
      <c r="H18" s="298">
        <f t="shared" si="2"/>
        <v>0</v>
      </c>
    </row>
    <row r="19" spans="1:11" ht="16.5">
      <c r="A19" s="284"/>
      <c r="B19" s="540"/>
      <c r="C19" s="350" t="s">
        <v>860</v>
      </c>
      <c r="D19" s="544" t="s">
        <v>901</v>
      </c>
      <c r="E19" s="298">
        <v>163</v>
      </c>
      <c r="F19" s="1251">
        <v>163</v>
      </c>
      <c r="G19" s="298"/>
      <c r="H19" s="298">
        <f t="shared" si="2"/>
        <v>0</v>
      </c>
    </row>
    <row r="20" spans="1:11" ht="16.5">
      <c r="A20" s="284"/>
      <c r="B20" s="540"/>
      <c r="C20" s="350" t="s">
        <v>862</v>
      </c>
      <c r="D20" s="544" t="s">
        <v>863</v>
      </c>
      <c r="E20" s="298">
        <v>164</v>
      </c>
      <c r="F20" s="1251">
        <v>164</v>
      </c>
      <c r="G20" s="298"/>
      <c r="H20" s="298">
        <f t="shared" si="2"/>
        <v>0</v>
      </c>
    </row>
    <row r="21" spans="1:11" ht="16.5">
      <c r="A21" s="284"/>
      <c r="B21" s="540"/>
      <c r="C21" s="350" t="s">
        <v>1283</v>
      </c>
      <c r="D21" s="544" t="s">
        <v>1282</v>
      </c>
      <c r="E21" s="298">
        <v>164</v>
      </c>
      <c r="F21" s="1251">
        <v>164</v>
      </c>
      <c r="G21" s="298"/>
      <c r="H21" s="298">
        <f t="shared" si="2"/>
        <v>0</v>
      </c>
    </row>
    <row r="22" spans="1:11" ht="16.5" hidden="1">
      <c r="A22" s="284"/>
      <c r="B22" s="540"/>
      <c r="C22" s="350" t="s">
        <v>864</v>
      </c>
      <c r="D22" s="543" t="s">
        <v>865</v>
      </c>
      <c r="E22" s="298">
        <f>SUM(E23:E26)</f>
        <v>0</v>
      </c>
      <c r="F22" s="1251">
        <f>SUM(F23:F26)</f>
        <v>0</v>
      </c>
      <c r="G22" s="298">
        <f>SUM(G23:G26)</f>
        <v>0</v>
      </c>
      <c r="H22" s="298" t="e">
        <f t="shared" si="2"/>
        <v>#DIV/0!</v>
      </c>
    </row>
    <row r="23" spans="1:11" ht="16.5" hidden="1">
      <c r="A23" s="284"/>
      <c r="B23" s="540"/>
      <c r="C23" s="350" t="s">
        <v>866</v>
      </c>
      <c r="D23" s="544" t="s">
        <v>857</v>
      </c>
      <c r="E23" s="298"/>
      <c r="F23" s="1251"/>
      <c r="G23" s="298"/>
      <c r="H23" s="298" t="e">
        <f t="shared" si="2"/>
        <v>#DIV/0!</v>
      </c>
    </row>
    <row r="24" spans="1:11" ht="16.5" hidden="1">
      <c r="A24" s="284"/>
      <c r="B24" s="540"/>
      <c r="C24" s="350" t="s">
        <v>867</v>
      </c>
      <c r="D24" s="544" t="s">
        <v>861</v>
      </c>
      <c r="E24" s="298"/>
      <c r="F24" s="1251"/>
      <c r="G24" s="298"/>
      <c r="H24" s="298" t="e">
        <f t="shared" si="2"/>
        <v>#DIV/0!</v>
      </c>
    </row>
    <row r="25" spans="1:11" ht="16.5" hidden="1">
      <c r="A25" s="284"/>
      <c r="B25" s="540"/>
      <c r="C25" s="350" t="s">
        <v>868</v>
      </c>
      <c r="D25" s="544" t="s">
        <v>901</v>
      </c>
      <c r="E25" s="298"/>
      <c r="F25" s="1251"/>
      <c r="G25" s="298"/>
      <c r="H25" s="298" t="e">
        <f t="shared" si="2"/>
        <v>#DIV/0!</v>
      </c>
    </row>
    <row r="26" spans="1:11" ht="16.5" hidden="1">
      <c r="A26" s="284"/>
      <c r="B26" s="540"/>
      <c r="C26" s="350" t="s">
        <v>869</v>
      </c>
      <c r="D26" s="544" t="s">
        <v>863</v>
      </c>
      <c r="E26" s="298"/>
      <c r="F26" s="1251"/>
      <c r="G26" s="298"/>
      <c r="H26" s="298"/>
    </row>
    <row r="27" spans="1:11" ht="16.5">
      <c r="A27" s="284"/>
      <c r="B27" s="540"/>
      <c r="C27" s="350" t="s">
        <v>870</v>
      </c>
      <c r="D27" s="543" t="s">
        <v>871</v>
      </c>
      <c r="E27" s="298">
        <f>SUM(E28:E28)</f>
        <v>12703</v>
      </c>
      <c r="F27" s="1251">
        <f>SUM(F28:F28)</f>
        <v>14494</v>
      </c>
      <c r="G27" s="298">
        <f>SUM(G28:G28)</f>
        <v>0</v>
      </c>
      <c r="H27" s="298">
        <f t="shared" si="2"/>
        <v>0</v>
      </c>
    </row>
    <row r="28" spans="1:11" ht="16.5">
      <c r="A28" s="284"/>
      <c r="B28" s="540"/>
      <c r="C28" s="350" t="s">
        <v>872</v>
      </c>
      <c r="D28" s="544" t="s">
        <v>857</v>
      </c>
      <c r="E28" s="355">
        <v>12703</v>
      </c>
      <c r="F28" s="1251">
        <v>14494</v>
      </c>
      <c r="G28" s="298"/>
      <c r="H28" s="298">
        <f t="shared" si="2"/>
        <v>0</v>
      </c>
      <c r="K28" s="322">
        <f>SUM(E50-E36)</f>
        <v>0</v>
      </c>
    </row>
    <row r="29" spans="1:11" ht="16.5">
      <c r="A29" s="1195"/>
      <c r="B29" s="1196"/>
      <c r="C29" s="1197" t="s">
        <v>1833</v>
      </c>
      <c r="D29" s="1198" t="s">
        <v>1834</v>
      </c>
      <c r="E29" s="1199"/>
      <c r="F29" s="1251">
        <v>16</v>
      </c>
      <c r="G29" s="1200"/>
      <c r="H29" s="1200"/>
      <c r="K29" s="322"/>
    </row>
    <row r="30" spans="1:11" ht="16.5">
      <c r="A30" s="541"/>
      <c r="B30" s="542"/>
      <c r="C30" s="304" t="s">
        <v>522</v>
      </c>
      <c r="D30" s="301" t="s">
        <v>887</v>
      </c>
      <c r="E30" s="302"/>
      <c r="F30" s="1252"/>
      <c r="G30" s="302"/>
      <c r="H30" s="302"/>
    </row>
    <row r="31" spans="1:11" ht="16.5">
      <c r="A31" s="284"/>
      <c r="B31" s="540"/>
      <c r="C31" s="279" t="s">
        <v>902</v>
      </c>
      <c r="D31" s="297" t="s">
        <v>429</v>
      </c>
      <c r="E31" s="298">
        <f>SUM(E32)</f>
        <v>2324</v>
      </c>
      <c r="F31" s="1251">
        <f>SUM(F32)</f>
        <v>2324</v>
      </c>
      <c r="G31" s="298">
        <f>SUM(G32)</f>
        <v>0</v>
      </c>
      <c r="H31" s="298">
        <f t="shared" si="2"/>
        <v>0</v>
      </c>
    </row>
    <row r="32" spans="1:11" ht="16.5">
      <c r="A32" s="284"/>
      <c r="B32" s="540"/>
      <c r="C32" s="350" t="s">
        <v>428</v>
      </c>
      <c r="D32" s="544" t="s">
        <v>861</v>
      </c>
      <c r="E32" s="298">
        <v>2324</v>
      </c>
      <c r="F32" s="1251">
        <v>2324</v>
      </c>
      <c r="G32" s="298"/>
      <c r="H32" s="298">
        <f t="shared" si="2"/>
        <v>0</v>
      </c>
    </row>
    <row r="33" spans="1:8" ht="16.5" hidden="1">
      <c r="A33" s="284"/>
      <c r="B33" s="540"/>
      <c r="C33" s="350"/>
      <c r="D33" s="544"/>
      <c r="E33" s="298"/>
      <c r="F33" s="1251"/>
      <c r="G33" s="298"/>
      <c r="H33" s="298" t="e">
        <f t="shared" si="2"/>
        <v>#DIV/0!</v>
      </c>
    </row>
    <row r="34" spans="1:8" ht="16.5" hidden="1">
      <c r="A34" s="284"/>
      <c r="B34" s="540"/>
      <c r="C34" s="350"/>
      <c r="D34" s="297"/>
      <c r="E34" s="298"/>
      <c r="F34" s="1251"/>
      <c r="G34" s="298"/>
      <c r="H34" s="298" t="e">
        <f t="shared" si="2"/>
        <v>#DIV/0!</v>
      </c>
    </row>
    <row r="35" spans="1:8" hidden="1">
      <c r="F35" s="1253"/>
      <c r="H35" s="322" t="e">
        <f t="shared" si="2"/>
        <v>#DIV/0!</v>
      </c>
    </row>
    <row r="36" spans="1:8" ht="16.5">
      <c r="A36" s="284"/>
      <c r="B36" s="540"/>
      <c r="C36" s="350"/>
      <c r="D36" s="545" t="s">
        <v>873</v>
      </c>
      <c r="E36" s="546">
        <f>SUM(E5+E14+E13+E31+E30)</f>
        <v>24393</v>
      </c>
      <c r="F36" s="1254">
        <f>SUM(F5+F14+F13+F31+F29+F30)</f>
        <v>26503</v>
      </c>
      <c r="G36" s="546">
        <f>SUM(G5+G14+G13+G31+G29+G30)</f>
        <v>0</v>
      </c>
      <c r="H36" s="546">
        <f t="shared" si="2"/>
        <v>0</v>
      </c>
    </row>
    <row r="37" spans="1:8" ht="16.5">
      <c r="A37" s="284"/>
      <c r="B37" s="535" t="s">
        <v>5</v>
      </c>
      <c r="C37" s="351"/>
      <c r="D37" s="538" t="s">
        <v>197</v>
      </c>
      <c r="E37" s="554"/>
      <c r="F37" s="1255"/>
      <c r="G37" s="554"/>
      <c r="H37" s="554"/>
    </row>
    <row r="38" spans="1:8" ht="16.5">
      <c r="A38" s="284"/>
      <c r="B38" s="540"/>
      <c r="C38" s="351" t="s">
        <v>6</v>
      </c>
      <c r="D38" s="297" t="s">
        <v>508</v>
      </c>
      <c r="E38" s="298">
        <f>SUM(E39:E40)</f>
        <v>13360</v>
      </c>
      <c r="F38" s="1251">
        <f>SUM(F39:F40)</f>
        <v>14904</v>
      </c>
      <c r="G38" s="298">
        <f>SUM(G39:G40)</f>
        <v>0</v>
      </c>
      <c r="H38" s="298">
        <f t="shared" si="2"/>
        <v>0</v>
      </c>
    </row>
    <row r="39" spans="1:8" ht="16.5">
      <c r="A39" s="284"/>
      <c r="B39" s="540"/>
      <c r="C39" s="351" t="s">
        <v>457</v>
      </c>
      <c r="D39" s="544" t="s">
        <v>857</v>
      </c>
      <c r="E39" s="298">
        <v>9123</v>
      </c>
      <c r="F39" s="1251">
        <v>10565</v>
      </c>
      <c r="G39" s="298"/>
      <c r="H39" s="298">
        <f t="shared" si="2"/>
        <v>0</v>
      </c>
    </row>
    <row r="40" spans="1:8" ht="16.5">
      <c r="A40" s="284"/>
      <c r="B40" s="540"/>
      <c r="C40" s="351" t="s">
        <v>475</v>
      </c>
      <c r="D40" s="544" t="s">
        <v>861</v>
      </c>
      <c r="E40" s="298">
        <v>4237</v>
      </c>
      <c r="F40" s="1251">
        <v>4339</v>
      </c>
      <c r="G40" s="298"/>
      <c r="H40" s="298">
        <f t="shared" si="2"/>
        <v>0</v>
      </c>
    </row>
    <row r="41" spans="1:8" ht="16.5">
      <c r="A41" s="284"/>
      <c r="B41" s="540"/>
      <c r="C41" s="351" t="s">
        <v>8</v>
      </c>
      <c r="D41" s="297" t="s">
        <v>509</v>
      </c>
      <c r="E41" s="298">
        <f>SUM(E42:E43)</f>
        <v>3531</v>
      </c>
      <c r="F41" s="1251">
        <f>SUM(F42:F43)</f>
        <v>3947</v>
      </c>
      <c r="G41" s="298">
        <f>SUM(G42:G43)</f>
        <v>0</v>
      </c>
      <c r="H41" s="298">
        <f t="shared" si="2"/>
        <v>0</v>
      </c>
    </row>
    <row r="42" spans="1:8" ht="16.5">
      <c r="A42" s="284"/>
      <c r="B42" s="540"/>
      <c r="C42" s="351" t="s">
        <v>457</v>
      </c>
      <c r="D42" s="544" t="s">
        <v>857</v>
      </c>
      <c r="E42" s="298">
        <v>2433</v>
      </c>
      <c r="F42" s="1251">
        <v>2822</v>
      </c>
      <c r="G42" s="298"/>
      <c r="H42" s="298">
        <f t="shared" si="2"/>
        <v>0</v>
      </c>
    </row>
    <row r="43" spans="1:8" ht="16.5">
      <c r="A43" s="284"/>
      <c r="B43" s="540"/>
      <c r="C43" s="351" t="s">
        <v>874</v>
      </c>
      <c r="D43" s="544" t="s">
        <v>861</v>
      </c>
      <c r="E43" s="298">
        <v>1098</v>
      </c>
      <c r="F43" s="1251">
        <v>1125</v>
      </c>
      <c r="G43" s="298"/>
      <c r="H43" s="298">
        <f t="shared" si="2"/>
        <v>0</v>
      </c>
    </row>
    <row r="44" spans="1:8" ht="16.5">
      <c r="A44" s="284"/>
      <c r="B44" s="540"/>
      <c r="C44" s="351" t="s">
        <v>10</v>
      </c>
      <c r="D44" s="297" t="s">
        <v>201</v>
      </c>
      <c r="E44" s="298">
        <f>SUM(E45:E46)</f>
        <v>7502</v>
      </c>
      <c r="F44" s="1251">
        <f>SUM(F45:F46)</f>
        <v>7167</v>
      </c>
      <c r="G44" s="298">
        <f>SUM(G45:G46)</f>
        <v>0</v>
      </c>
      <c r="H44" s="298">
        <f t="shared" si="2"/>
        <v>0</v>
      </c>
    </row>
    <row r="45" spans="1:8" ht="16.5">
      <c r="A45" s="284"/>
      <c r="B45" s="540"/>
      <c r="C45" s="351" t="s">
        <v>480</v>
      </c>
      <c r="D45" s="544" t="s">
        <v>857</v>
      </c>
      <c r="E45" s="298">
        <v>7468</v>
      </c>
      <c r="F45" s="1251">
        <v>7133</v>
      </c>
      <c r="G45" s="298"/>
      <c r="H45" s="298">
        <f t="shared" si="2"/>
        <v>0</v>
      </c>
    </row>
    <row r="46" spans="1:8" ht="16.5">
      <c r="A46" s="284"/>
      <c r="B46" s="540"/>
      <c r="C46" s="351" t="s">
        <v>874</v>
      </c>
      <c r="D46" s="544" t="s">
        <v>861</v>
      </c>
      <c r="E46" s="298">
        <v>34</v>
      </c>
      <c r="F46" s="1251">
        <v>34</v>
      </c>
      <c r="G46" s="298"/>
      <c r="H46" s="298">
        <f t="shared" si="2"/>
        <v>0</v>
      </c>
    </row>
    <row r="47" spans="1:8" ht="16.5">
      <c r="A47" s="284"/>
      <c r="B47" s="540"/>
      <c r="C47" s="351" t="s">
        <v>12</v>
      </c>
      <c r="D47" s="297" t="s">
        <v>881</v>
      </c>
      <c r="E47" s="298"/>
      <c r="F47" s="1251"/>
      <c r="G47" s="298"/>
      <c r="H47" s="298"/>
    </row>
    <row r="48" spans="1:8" ht="16.5">
      <c r="A48" s="284"/>
      <c r="B48" s="540"/>
      <c r="C48" s="351" t="s">
        <v>14</v>
      </c>
      <c r="D48" s="297" t="s">
        <v>882</v>
      </c>
      <c r="E48" s="298"/>
      <c r="F48" s="1251">
        <v>485</v>
      </c>
      <c r="G48" s="298"/>
      <c r="H48" s="298"/>
    </row>
    <row r="49" spans="1:11" ht="16.5">
      <c r="A49" s="284"/>
      <c r="B49" s="540"/>
      <c r="C49" s="351" t="s">
        <v>16</v>
      </c>
      <c r="D49" s="297" t="s">
        <v>1253</v>
      </c>
      <c r="E49" s="298"/>
      <c r="F49" s="1251"/>
      <c r="G49" s="298"/>
      <c r="H49" s="298"/>
    </row>
    <row r="50" spans="1:11" ht="16.5">
      <c r="A50" s="284"/>
      <c r="B50" s="540"/>
      <c r="C50" s="351"/>
      <c r="D50" s="547" t="s">
        <v>884</v>
      </c>
      <c r="E50" s="546">
        <f>SUM(E38,E41,E44,E47,E48,E49)</f>
        <v>24393</v>
      </c>
      <c r="F50" s="1254">
        <f>SUM(F38,F41,F44,F47,F48,F49)</f>
        <v>26503</v>
      </c>
      <c r="G50" s="546">
        <f>SUM(G38,G41,G44,G47,G48,G49)</f>
        <v>0</v>
      </c>
      <c r="H50" s="546">
        <f t="shared" si="2"/>
        <v>0</v>
      </c>
      <c r="K50" s="322"/>
    </row>
    <row r="51" spans="1:11" ht="16.5">
      <c r="A51" s="284"/>
      <c r="B51" s="535" t="s">
        <v>19</v>
      </c>
      <c r="C51" s="280"/>
      <c r="D51" s="548" t="s">
        <v>903</v>
      </c>
      <c r="E51" s="410">
        <v>7.5</v>
      </c>
      <c r="F51" s="1256">
        <v>8.5</v>
      </c>
      <c r="G51" s="410">
        <v>8.5</v>
      </c>
      <c r="H51" s="410"/>
    </row>
    <row r="52" spans="1:11" ht="16.5" hidden="1">
      <c r="A52" s="559"/>
      <c r="B52" s="559"/>
      <c r="C52" s="560"/>
      <c r="D52" s="562" t="s">
        <v>904</v>
      </c>
      <c r="E52" s="563"/>
      <c r="F52" s="1257"/>
      <c r="G52" s="563"/>
      <c r="H52" s="563" t="e">
        <f t="shared" si="2"/>
        <v>#DIV/0!</v>
      </c>
    </row>
    <row r="53" spans="1:11" ht="16.5" hidden="1">
      <c r="A53" s="284"/>
      <c r="B53" s="535" t="s">
        <v>4</v>
      </c>
      <c r="C53" s="350"/>
      <c r="D53" s="538" t="s">
        <v>196</v>
      </c>
      <c r="E53" s="564"/>
      <c r="F53" s="1258"/>
      <c r="G53" s="564"/>
      <c r="H53" s="564" t="e">
        <f t="shared" si="2"/>
        <v>#DIV/0!</v>
      </c>
    </row>
    <row r="54" spans="1:11" ht="16.5" hidden="1">
      <c r="A54" s="284"/>
      <c r="B54" s="540"/>
      <c r="C54" s="279" t="s">
        <v>102</v>
      </c>
      <c r="D54" s="297" t="s">
        <v>850</v>
      </c>
      <c r="E54" s="298"/>
      <c r="F54" s="1251"/>
      <c r="G54" s="298"/>
      <c r="H54" s="298" t="e">
        <f t="shared" si="2"/>
        <v>#DIV/0!</v>
      </c>
    </row>
    <row r="55" spans="1:11" ht="16.5" hidden="1" customHeight="1">
      <c r="A55" s="284"/>
      <c r="B55" s="540"/>
      <c r="C55" s="350" t="s">
        <v>184</v>
      </c>
      <c r="D55" s="297" t="s">
        <v>892</v>
      </c>
      <c r="E55" s="298"/>
      <c r="F55" s="1251"/>
      <c r="G55" s="298"/>
      <c r="H55" s="298" t="e">
        <f t="shared" si="2"/>
        <v>#DIV/0!</v>
      </c>
    </row>
    <row r="56" spans="1:11" ht="16.5" hidden="1" customHeight="1">
      <c r="A56" s="284"/>
      <c r="B56" s="540"/>
      <c r="C56" s="350" t="s">
        <v>893</v>
      </c>
      <c r="D56" s="297" t="s">
        <v>894</v>
      </c>
      <c r="E56" s="298"/>
      <c r="F56" s="1251"/>
      <c r="G56" s="298"/>
      <c r="H56" s="298" t="e">
        <f t="shared" si="2"/>
        <v>#DIV/0!</v>
      </c>
    </row>
    <row r="57" spans="1:11" ht="16.5" hidden="1" customHeight="1">
      <c r="A57" s="284"/>
      <c r="B57" s="540"/>
      <c r="C57" s="350" t="s">
        <v>895</v>
      </c>
      <c r="D57" s="297" t="s">
        <v>26</v>
      </c>
      <c r="E57" s="298"/>
      <c r="F57" s="1251"/>
      <c r="G57" s="298"/>
      <c r="H57" s="298" t="e">
        <f t="shared" si="2"/>
        <v>#DIV/0!</v>
      </c>
    </row>
    <row r="58" spans="1:11" ht="16.5" hidden="1" customHeight="1">
      <c r="A58" s="284"/>
      <c r="B58" s="540"/>
      <c r="C58" s="350" t="s">
        <v>896</v>
      </c>
      <c r="D58" s="297" t="s">
        <v>897</v>
      </c>
      <c r="E58" s="298"/>
      <c r="F58" s="1251"/>
      <c r="G58" s="298"/>
      <c r="H58" s="298" t="e">
        <f t="shared" si="2"/>
        <v>#DIV/0!</v>
      </c>
    </row>
    <row r="59" spans="1:11" ht="16.5" hidden="1" customHeight="1">
      <c r="A59" s="284"/>
      <c r="B59" s="540"/>
      <c r="C59" s="350" t="s">
        <v>898</v>
      </c>
      <c r="D59" s="297" t="s">
        <v>899</v>
      </c>
      <c r="E59" s="298"/>
      <c r="F59" s="1251"/>
      <c r="G59" s="298"/>
      <c r="H59" s="298" t="e">
        <f t="shared" si="2"/>
        <v>#DIV/0!</v>
      </c>
    </row>
    <row r="60" spans="1:11" ht="16.5" hidden="1">
      <c r="A60" s="284"/>
      <c r="B60" s="540"/>
      <c r="C60" s="279" t="s">
        <v>104</v>
      </c>
      <c r="D60" s="297" t="s">
        <v>905</v>
      </c>
      <c r="E60" s="298"/>
      <c r="F60" s="1251"/>
      <c r="G60" s="298"/>
      <c r="H60" s="298" t="e">
        <f t="shared" si="2"/>
        <v>#DIV/0!</v>
      </c>
    </row>
    <row r="61" spans="1:11" ht="16.5" hidden="1">
      <c r="A61" s="284"/>
      <c r="B61" s="540"/>
      <c r="C61" s="279" t="s">
        <v>106</v>
      </c>
      <c r="D61" s="297" t="s">
        <v>852</v>
      </c>
      <c r="E61" s="298"/>
      <c r="F61" s="1251"/>
      <c r="G61" s="298"/>
      <c r="H61" s="298" t="e">
        <f t="shared" si="2"/>
        <v>#DIV/0!</v>
      </c>
    </row>
    <row r="62" spans="1:11" ht="16.5" hidden="1">
      <c r="A62" s="541"/>
      <c r="B62" s="542"/>
      <c r="C62" s="304" t="s">
        <v>389</v>
      </c>
      <c r="D62" s="301" t="s">
        <v>853</v>
      </c>
      <c r="E62" s="302"/>
      <c r="F62" s="1252"/>
      <c r="G62" s="302"/>
      <c r="H62" s="302" t="e">
        <f t="shared" si="2"/>
        <v>#DIV/0!</v>
      </c>
    </row>
    <row r="63" spans="1:11" ht="16.5" hidden="1">
      <c r="A63" s="284"/>
      <c r="B63" s="540"/>
      <c r="C63" s="350" t="s">
        <v>854</v>
      </c>
      <c r="D63" s="297" t="s">
        <v>906</v>
      </c>
      <c r="E63" s="298"/>
      <c r="F63" s="1251"/>
      <c r="G63" s="298"/>
      <c r="H63" s="298" t="e">
        <f t="shared" si="2"/>
        <v>#DIV/0!</v>
      </c>
    </row>
    <row r="64" spans="1:11" ht="16.5" hidden="1">
      <c r="A64" s="284"/>
      <c r="B64" s="540"/>
      <c r="C64" s="350"/>
      <c r="D64" s="544" t="s">
        <v>857</v>
      </c>
      <c r="E64" s="298"/>
      <c r="F64" s="1251"/>
      <c r="G64" s="298"/>
      <c r="H64" s="298" t="e">
        <f t="shared" si="2"/>
        <v>#DIV/0!</v>
      </c>
    </row>
    <row r="65" spans="1:8" ht="16.5" hidden="1">
      <c r="A65" s="284"/>
      <c r="B65" s="540"/>
      <c r="C65" s="350"/>
      <c r="D65" s="543" t="s">
        <v>865</v>
      </c>
      <c r="E65" s="298"/>
      <c r="F65" s="1251"/>
      <c r="G65" s="298"/>
      <c r="H65" s="298" t="e">
        <f t="shared" si="2"/>
        <v>#DIV/0!</v>
      </c>
    </row>
    <row r="66" spans="1:8" ht="16.5" hidden="1">
      <c r="A66" s="284"/>
      <c r="B66" s="540"/>
      <c r="C66" s="350"/>
      <c r="D66" s="544" t="s">
        <v>857</v>
      </c>
      <c r="E66" s="298"/>
      <c r="F66" s="1251"/>
      <c r="G66" s="298"/>
      <c r="H66" s="298" t="e">
        <f t="shared" si="2"/>
        <v>#DIV/0!</v>
      </c>
    </row>
    <row r="67" spans="1:8" ht="16.5" hidden="1">
      <c r="A67" s="284"/>
      <c r="B67" s="540"/>
      <c r="C67" s="350"/>
      <c r="D67" s="543" t="s">
        <v>871</v>
      </c>
      <c r="E67" s="298"/>
      <c r="F67" s="1251"/>
      <c r="G67" s="298"/>
      <c r="H67" s="298" t="e">
        <f t="shared" si="2"/>
        <v>#DIV/0!</v>
      </c>
    </row>
    <row r="68" spans="1:8" ht="16.5" hidden="1">
      <c r="A68" s="284"/>
      <c r="B68" s="540"/>
      <c r="C68" s="350"/>
      <c r="D68" s="544" t="s">
        <v>857</v>
      </c>
      <c r="E68" s="298"/>
      <c r="F68" s="1251"/>
      <c r="G68" s="298"/>
      <c r="H68" s="298" t="e">
        <f t="shared" si="2"/>
        <v>#DIV/0!</v>
      </c>
    </row>
    <row r="69" spans="1:8" ht="16.5" hidden="1">
      <c r="A69" s="284"/>
      <c r="B69" s="540"/>
      <c r="C69" s="279" t="s">
        <v>108</v>
      </c>
      <c r="D69" s="297" t="s">
        <v>429</v>
      </c>
      <c r="E69" s="298"/>
      <c r="F69" s="1251"/>
      <c r="G69" s="298"/>
      <c r="H69" s="298" t="e">
        <f t="shared" si="2"/>
        <v>#DIV/0!</v>
      </c>
    </row>
    <row r="70" spans="1:8" ht="16.5" hidden="1">
      <c r="A70" s="284"/>
      <c r="B70" s="540"/>
      <c r="C70" s="350"/>
      <c r="D70" s="544" t="s">
        <v>861</v>
      </c>
      <c r="E70" s="298"/>
      <c r="F70" s="1251"/>
      <c r="G70" s="298"/>
      <c r="H70" s="298" t="e">
        <f t="shared" si="2"/>
        <v>#DIV/0!</v>
      </c>
    </row>
    <row r="71" spans="1:8" ht="16.5" hidden="1" customHeight="1">
      <c r="A71" s="284"/>
      <c r="B71" s="540"/>
      <c r="C71" s="350"/>
      <c r="D71" s="544"/>
      <c r="E71" s="298"/>
      <c r="F71" s="1251"/>
      <c r="G71" s="298"/>
      <c r="H71" s="298" t="e">
        <f t="shared" si="2"/>
        <v>#DIV/0!</v>
      </c>
    </row>
    <row r="72" spans="1:8" ht="16.5" hidden="1" customHeight="1">
      <c r="A72" s="284"/>
      <c r="B72" s="540"/>
      <c r="C72" s="350"/>
      <c r="D72" s="297"/>
      <c r="E72" s="298"/>
      <c r="F72" s="1251"/>
      <c r="G72" s="298"/>
      <c r="H72" s="298" t="e">
        <f t="shared" si="2"/>
        <v>#DIV/0!</v>
      </c>
    </row>
    <row r="73" spans="1:8" ht="16.5" hidden="1">
      <c r="A73" s="284"/>
      <c r="B73" s="540"/>
      <c r="C73" s="350"/>
      <c r="D73" s="297"/>
      <c r="E73" s="298"/>
      <c r="F73" s="1251"/>
      <c r="G73" s="298"/>
      <c r="H73" s="298" t="e">
        <f t="shared" si="2"/>
        <v>#DIV/0!</v>
      </c>
    </row>
    <row r="74" spans="1:8" ht="16.5" hidden="1">
      <c r="A74" s="284"/>
      <c r="B74" s="540"/>
      <c r="C74" s="350"/>
      <c r="D74" s="545" t="s">
        <v>873</v>
      </c>
      <c r="E74" s="546"/>
      <c r="F74" s="1254"/>
      <c r="G74" s="546"/>
      <c r="H74" s="546" t="e">
        <f t="shared" ref="H74:H137" si="4">G74/F74*100</f>
        <v>#DIV/0!</v>
      </c>
    </row>
    <row r="75" spans="1:8" ht="16.5" hidden="1">
      <c r="A75" s="284"/>
      <c r="B75" s="535" t="s">
        <v>5</v>
      </c>
      <c r="C75" s="351"/>
      <c r="D75" s="538" t="s">
        <v>197</v>
      </c>
      <c r="E75" s="564"/>
      <c r="F75" s="1258"/>
      <c r="G75" s="564"/>
      <c r="H75" s="564" t="e">
        <f t="shared" si="4"/>
        <v>#DIV/0!</v>
      </c>
    </row>
    <row r="76" spans="1:8" ht="16.5" hidden="1">
      <c r="A76" s="284"/>
      <c r="B76" s="540"/>
      <c r="C76" s="351" t="s">
        <v>6</v>
      </c>
      <c r="D76" s="297" t="s">
        <v>508</v>
      </c>
      <c r="E76" s="298"/>
      <c r="F76" s="1251"/>
      <c r="G76" s="298"/>
      <c r="H76" s="298" t="e">
        <f t="shared" si="4"/>
        <v>#DIV/0!</v>
      </c>
    </row>
    <row r="77" spans="1:8" ht="16.5" hidden="1">
      <c r="A77" s="284"/>
      <c r="B77" s="540"/>
      <c r="C77" s="351"/>
      <c r="D77" s="544" t="s">
        <v>907</v>
      </c>
      <c r="E77" s="298"/>
      <c r="F77" s="1251"/>
      <c r="G77" s="298"/>
      <c r="H77" s="298" t="e">
        <f t="shared" si="4"/>
        <v>#DIV/0!</v>
      </c>
    </row>
    <row r="78" spans="1:8" ht="16.5" hidden="1">
      <c r="A78" s="284"/>
      <c r="B78" s="540"/>
      <c r="C78" s="351"/>
      <c r="D78" s="544" t="s">
        <v>857</v>
      </c>
      <c r="E78" s="298"/>
      <c r="F78" s="1251"/>
      <c r="G78" s="298"/>
      <c r="H78" s="298" t="e">
        <f t="shared" si="4"/>
        <v>#DIV/0!</v>
      </c>
    </row>
    <row r="79" spans="1:8" ht="16.5" hidden="1">
      <c r="A79" s="284"/>
      <c r="B79" s="540"/>
      <c r="C79" s="351" t="s">
        <v>8</v>
      </c>
      <c r="D79" s="297" t="s">
        <v>509</v>
      </c>
      <c r="E79" s="298"/>
      <c r="F79" s="1251"/>
      <c r="G79" s="298"/>
      <c r="H79" s="298" t="e">
        <f t="shared" si="4"/>
        <v>#DIV/0!</v>
      </c>
    </row>
    <row r="80" spans="1:8" ht="16.5" hidden="1">
      <c r="A80" s="284"/>
      <c r="B80" s="540"/>
      <c r="C80" s="351"/>
      <c r="D80" s="544" t="s">
        <v>907</v>
      </c>
      <c r="E80" s="298"/>
      <c r="F80" s="1251"/>
      <c r="G80" s="298"/>
      <c r="H80" s="298" t="e">
        <f t="shared" si="4"/>
        <v>#DIV/0!</v>
      </c>
    </row>
    <row r="81" spans="1:8" ht="16.5" hidden="1">
      <c r="A81" s="284"/>
      <c r="B81" s="540"/>
      <c r="C81" s="351"/>
      <c r="D81" s="544" t="s">
        <v>857</v>
      </c>
      <c r="E81" s="298"/>
      <c r="F81" s="1251"/>
      <c r="G81" s="298"/>
      <c r="H81" s="298" t="e">
        <f t="shared" si="4"/>
        <v>#DIV/0!</v>
      </c>
    </row>
    <row r="82" spans="1:8" ht="16.5" hidden="1">
      <c r="A82" s="284"/>
      <c r="B82" s="540"/>
      <c r="C82" s="351" t="s">
        <v>10</v>
      </c>
      <c r="D82" s="297" t="s">
        <v>201</v>
      </c>
      <c r="E82" s="298"/>
      <c r="F82" s="1251"/>
      <c r="G82" s="298"/>
      <c r="H82" s="298" t="e">
        <f t="shared" si="4"/>
        <v>#DIV/0!</v>
      </c>
    </row>
    <row r="83" spans="1:8" ht="16.5" hidden="1">
      <c r="A83" s="284"/>
      <c r="B83" s="540"/>
      <c r="C83" s="351"/>
      <c r="D83" s="544" t="s">
        <v>857</v>
      </c>
      <c r="E83" s="298"/>
      <c r="F83" s="1251"/>
      <c r="G83" s="298"/>
      <c r="H83" s="298" t="e">
        <f t="shared" si="4"/>
        <v>#DIV/0!</v>
      </c>
    </row>
    <row r="84" spans="1:8" ht="16.5" hidden="1">
      <c r="A84" s="284"/>
      <c r="B84" s="540"/>
      <c r="C84" s="351"/>
      <c r="D84" s="297" t="s">
        <v>878</v>
      </c>
      <c r="E84" s="298"/>
      <c r="F84" s="1251"/>
      <c r="G84" s="298"/>
      <c r="H84" s="298" t="e">
        <f t="shared" si="4"/>
        <v>#DIV/0!</v>
      </c>
    </row>
    <row r="85" spans="1:8" ht="16.5" hidden="1">
      <c r="A85" s="284"/>
      <c r="B85" s="540"/>
      <c r="C85" s="351"/>
      <c r="D85" s="544" t="s">
        <v>861</v>
      </c>
      <c r="E85" s="298"/>
      <c r="F85" s="1251"/>
      <c r="G85" s="298"/>
      <c r="H85" s="298" t="e">
        <f t="shared" si="4"/>
        <v>#DIV/0!</v>
      </c>
    </row>
    <row r="86" spans="1:8" ht="16.5" hidden="1">
      <c r="A86" s="284"/>
      <c r="B86" s="540"/>
      <c r="C86" s="351" t="s">
        <v>12</v>
      </c>
      <c r="D86" s="297" t="s">
        <v>881</v>
      </c>
      <c r="E86" s="298"/>
      <c r="F86" s="1251"/>
      <c r="G86" s="298"/>
      <c r="H86" s="298" t="e">
        <f t="shared" si="4"/>
        <v>#DIV/0!</v>
      </c>
    </row>
    <row r="87" spans="1:8" ht="16.5" hidden="1">
      <c r="A87" s="284"/>
      <c r="B87" s="540"/>
      <c r="C87" s="351" t="s">
        <v>14</v>
      </c>
      <c r="D87" s="297" t="s">
        <v>882</v>
      </c>
      <c r="E87" s="298"/>
      <c r="F87" s="1251"/>
      <c r="G87" s="298"/>
      <c r="H87" s="298" t="e">
        <f t="shared" si="4"/>
        <v>#DIV/0!</v>
      </c>
    </row>
    <row r="88" spans="1:8" ht="16.5" hidden="1">
      <c r="A88" s="284"/>
      <c r="B88" s="540"/>
      <c r="C88" s="351" t="s">
        <v>16</v>
      </c>
      <c r="D88" s="297" t="s">
        <v>883</v>
      </c>
      <c r="E88" s="298"/>
      <c r="F88" s="1251"/>
      <c r="G88" s="298"/>
      <c r="H88" s="298" t="e">
        <f t="shared" si="4"/>
        <v>#DIV/0!</v>
      </c>
    </row>
    <row r="89" spans="1:8" ht="16.5" hidden="1">
      <c r="A89" s="284"/>
      <c r="B89" s="540"/>
      <c r="C89" s="351"/>
      <c r="D89" s="547" t="s">
        <v>884</v>
      </c>
      <c r="E89" s="546"/>
      <c r="F89" s="1254"/>
      <c r="G89" s="546"/>
      <c r="H89" s="546" t="e">
        <f t="shared" si="4"/>
        <v>#DIV/0!</v>
      </c>
    </row>
    <row r="90" spans="1:8" ht="16.5" hidden="1">
      <c r="A90" s="284"/>
      <c r="B90" s="535" t="s">
        <v>19</v>
      </c>
      <c r="C90" s="280"/>
      <c r="D90" s="548" t="s">
        <v>903</v>
      </c>
      <c r="E90" s="415"/>
      <c r="F90" s="1259"/>
      <c r="G90" s="415"/>
      <c r="H90" s="415" t="e">
        <f t="shared" si="4"/>
        <v>#DIV/0!</v>
      </c>
    </row>
    <row r="91" spans="1:8" ht="16.5">
      <c r="A91" s="534"/>
      <c r="B91" s="559"/>
      <c r="C91" s="560"/>
      <c r="D91" s="565" t="s">
        <v>908</v>
      </c>
      <c r="E91" s="566"/>
      <c r="F91" s="1260"/>
      <c r="G91" s="566"/>
      <c r="H91" s="566"/>
    </row>
    <row r="92" spans="1:8" ht="16.5">
      <c r="A92" s="284"/>
      <c r="B92" s="535" t="s">
        <v>4</v>
      </c>
      <c r="C92" s="351"/>
      <c r="D92" s="538" t="s">
        <v>196</v>
      </c>
      <c r="E92" s="554"/>
      <c r="F92" s="1255"/>
      <c r="G92" s="554"/>
      <c r="H92" s="554"/>
    </row>
    <row r="93" spans="1:8" ht="16.5">
      <c r="A93" s="284"/>
      <c r="B93" s="540"/>
      <c r="C93" s="279" t="s">
        <v>102</v>
      </c>
      <c r="D93" s="297" t="s">
        <v>850</v>
      </c>
      <c r="E93" s="298">
        <v>0</v>
      </c>
      <c r="F93" s="1251">
        <v>0</v>
      </c>
      <c r="G93" s="298"/>
      <c r="H93" s="298"/>
    </row>
    <row r="94" spans="1:8" ht="16.5" hidden="1" customHeight="1">
      <c r="A94" s="284"/>
      <c r="B94" s="540"/>
      <c r="C94" s="350" t="s">
        <v>184</v>
      </c>
      <c r="D94" s="297" t="s">
        <v>892</v>
      </c>
      <c r="E94" s="298"/>
      <c r="F94" s="1251"/>
      <c r="G94" s="298"/>
      <c r="H94" s="298"/>
    </row>
    <row r="95" spans="1:8" ht="16.5" hidden="1" customHeight="1">
      <c r="A95" s="284"/>
      <c r="B95" s="540"/>
      <c r="C95" s="350" t="s">
        <v>893</v>
      </c>
      <c r="D95" s="297" t="s">
        <v>894</v>
      </c>
      <c r="E95" s="298"/>
      <c r="F95" s="1251"/>
      <c r="G95" s="298"/>
      <c r="H95" s="298"/>
    </row>
    <row r="96" spans="1:8" ht="16.5" hidden="1" customHeight="1">
      <c r="A96" s="284"/>
      <c r="B96" s="540"/>
      <c r="C96" s="350" t="s">
        <v>895</v>
      </c>
      <c r="D96" s="297" t="s">
        <v>26</v>
      </c>
      <c r="E96" s="298"/>
      <c r="F96" s="1251"/>
      <c r="G96" s="298"/>
      <c r="H96" s="298"/>
    </row>
    <row r="97" spans="1:8" ht="16.5" hidden="1" customHeight="1">
      <c r="A97" s="284"/>
      <c r="B97" s="540"/>
      <c r="C97" s="350" t="s">
        <v>896</v>
      </c>
      <c r="D97" s="297" t="s">
        <v>897</v>
      </c>
      <c r="E97" s="298"/>
      <c r="F97" s="1251"/>
      <c r="G97" s="298"/>
      <c r="H97" s="298"/>
    </row>
    <row r="98" spans="1:8" ht="16.5" hidden="1" customHeight="1">
      <c r="A98" s="284"/>
      <c r="B98" s="540"/>
      <c r="C98" s="350" t="s">
        <v>898</v>
      </c>
      <c r="D98" s="297" t="s">
        <v>899</v>
      </c>
      <c r="E98" s="298"/>
      <c r="F98" s="1251"/>
      <c r="G98" s="298"/>
      <c r="H98" s="298"/>
    </row>
    <row r="99" spans="1:8" ht="16.5">
      <c r="A99" s="284"/>
      <c r="B99" s="540"/>
      <c r="C99" s="279" t="s">
        <v>104</v>
      </c>
      <c r="D99" s="297" t="s">
        <v>851</v>
      </c>
      <c r="E99" s="298"/>
      <c r="F99" s="1251"/>
      <c r="G99" s="298"/>
      <c r="H99" s="298"/>
    </row>
    <row r="100" spans="1:8" ht="16.5">
      <c r="A100" s="284"/>
      <c r="B100" s="540"/>
      <c r="C100" s="279" t="s">
        <v>106</v>
      </c>
      <c r="D100" s="297" t="s">
        <v>852</v>
      </c>
      <c r="E100" s="298">
        <f>SUM(E101)</f>
        <v>3391</v>
      </c>
      <c r="F100" s="1251">
        <f>SUM(F101)</f>
        <v>691</v>
      </c>
      <c r="G100" s="298">
        <f>SUM(G101)</f>
        <v>0</v>
      </c>
      <c r="H100" s="298">
        <f t="shared" si="4"/>
        <v>0</v>
      </c>
    </row>
    <row r="101" spans="1:8" ht="16.5">
      <c r="A101" s="541"/>
      <c r="B101" s="542"/>
      <c r="C101" s="304" t="s">
        <v>389</v>
      </c>
      <c r="D101" s="301" t="s">
        <v>853</v>
      </c>
      <c r="E101" s="302">
        <f>SUM(E102+E105+E108)</f>
        <v>3391</v>
      </c>
      <c r="F101" s="1252">
        <f>SUM(F102+F105+F108)</f>
        <v>691</v>
      </c>
      <c r="G101" s="302">
        <f>SUM(G102+G105+G108)</f>
        <v>0</v>
      </c>
      <c r="H101" s="302">
        <f t="shared" si="4"/>
        <v>0</v>
      </c>
    </row>
    <row r="102" spans="1:8" ht="16.5">
      <c r="A102" s="284"/>
      <c r="B102" s="540"/>
      <c r="C102" s="350" t="s">
        <v>854</v>
      </c>
      <c r="D102" s="297" t="s">
        <v>909</v>
      </c>
      <c r="E102" s="298">
        <f>SUM(E103:E104)</f>
        <v>321</v>
      </c>
      <c r="F102" s="1251">
        <f>SUM(F103:F104)</f>
        <v>321</v>
      </c>
      <c r="G102" s="298">
        <f>SUM(G103:G104)</f>
        <v>0</v>
      </c>
      <c r="H102" s="298">
        <f t="shared" si="4"/>
        <v>0</v>
      </c>
    </row>
    <row r="103" spans="1:8" ht="16.5">
      <c r="A103" s="284"/>
      <c r="B103" s="540"/>
      <c r="C103" s="350" t="s">
        <v>856</v>
      </c>
      <c r="D103" s="544" t="s">
        <v>857</v>
      </c>
      <c r="E103" s="298">
        <v>321</v>
      </c>
      <c r="F103" s="1251">
        <v>321</v>
      </c>
      <c r="G103" s="298"/>
      <c r="H103" s="298">
        <f t="shared" si="4"/>
        <v>0</v>
      </c>
    </row>
    <row r="104" spans="1:8" ht="16.5">
      <c r="A104" s="284"/>
      <c r="B104" s="540"/>
      <c r="C104" s="350" t="s">
        <v>858</v>
      </c>
      <c r="D104" s="544" t="s">
        <v>861</v>
      </c>
      <c r="E104" s="298"/>
      <c r="F104" s="1251"/>
      <c r="G104" s="298"/>
      <c r="H104" s="298"/>
    </row>
    <row r="105" spans="1:8" ht="16.5">
      <c r="A105" s="284"/>
      <c r="B105" s="540"/>
      <c r="C105" s="350" t="s">
        <v>864</v>
      </c>
      <c r="D105" s="543" t="s">
        <v>865</v>
      </c>
      <c r="E105" s="298"/>
      <c r="F105" s="1251"/>
      <c r="G105" s="298"/>
      <c r="H105" s="298"/>
    </row>
    <row r="106" spans="1:8" ht="16.5">
      <c r="A106" s="284"/>
      <c r="B106" s="540"/>
      <c r="C106" s="350" t="s">
        <v>866</v>
      </c>
      <c r="D106" s="544" t="s">
        <v>857</v>
      </c>
      <c r="E106" s="298"/>
      <c r="F106" s="1251"/>
      <c r="G106" s="298"/>
      <c r="H106" s="298"/>
    </row>
    <row r="107" spans="1:8" ht="16.5">
      <c r="A107" s="284"/>
      <c r="B107" s="540"/>
      <c r="C107" s="350" t="s">
        <v>867</v>
      </c>
      <c r="D107" s="544" t="s">
        <v>861</v>
      </c>
      <c r="E107" s="298"/>
      <c r="F107" s="1251"/>
      <c r="G107" s="298"/>
      <c r="H107" s="298"/>
    </row>
    <row r="108" spans="1:8" ht="16.5">
      <c r="A108" s="284"/>
      <c r="B108" s="540"/>
      <c r="C108" s="350" t="s">
        <v>870</v>
      </c>
      <c r="D108" s="543" t="s">
        <v>871</v>
      </c>
      <c r="E108" s="298">
        <f>SUM(E109:E110)</f>
        <v>3070</v>
      </c>
      <c r="F108" s="1251">
        <f>SUM(F109:F110)</f>
        <v>370</v>
      </c>
      <c r="G108" s="298">
        <f>SUM(G109:G110)</f>
        <v>0</v>
      </c>
      <c r="H108" s="298">
        <f t="shared" si="4"/>
        <v>0</v>
      </c>
    </row>
    <row r="109" spans="1:8" ht="16.5">
      <c r="A109" s="284"/>
      <c r="B109" s="540"/>
      <c r="C109" s="350" t="s">
        <v>872</v>
      </c>
      <c r="D109" s="544" t="s">
        <v>857</v>
      </c>
      <c r="E109" s="298">
        <v>3070</v>
      </c>
      <c r="F109" s="1251">
        <v>370</v>
      </c>
      <c r="G109" s="298"/>
      <c r="H109" s="298">
        <f t="shared" si="4"/>
        <v>0</v>
      </c>
    </row>
    <row r="110" spans="1:8" ht="16.5">
      <c r="A110" s="284"/>
      <c r="B110" s="540"/>
      <c r="C110" s="350" t="s">
        <v>910</v>
      </c>
      <c r="D110" s="544" t="s">
        <v>861</v>
      </c>
      <c r="E110" s="298"/>
      <c r="F110" s="1251"/>
      <c r="G110" s="298"/>
      <c r="H110" s="298"/>
    </row>
    <row r="111" spans="1:8" ht="16.5">
      <c r="A111" s="284"/>
      <c r="B111" s="540"/>
      <c r="C111" s="279" t="s">
        <v>108</v>
      </c>
      <c r="D111" s="297" t="s">
        <v>911</v>
      </c>
      <c r="E111" s="298">
        <f>SUM(E112)</f>
        <v>3006</v>
      </c>
      <c r="F111" s="1251">
        <f>SUM(F112)</f>
        <v>3006</v>
      </c>
      <c r="G111" s="298">
        <f>SUM(G112)</f>
        <v>0</v>
      </c>
      <c r="H111" s="298">
        <f t="shared" si="4"/>
        <v>0</v>
      </c>
    </row>
    <row r="112" spans="1:8" ht="16.5">
      <c r="A112" s="284"/>
      <c r="B112" s="540"/>
      <c r="C112" s="350" t="s">
        <v>428</v>
      </c>
      <c r="D112" s="544" t="s">
        <v>912</v>
      </c>
      <c r="E112" s="298">
        <v>3006</v>
      </c>
      <c r="F112" s="1251">
        <v>3006</v>
      </c>
      <c r="G112" s="298"/>
      <c r="H112" s="298">
        <f t="shared" si="4"/>
        <v>0</v>
      </c>
    </row>
    <row r="113" spans="1:8" ht="16.5" hidden="1" customHeight="1">
      <c r="A113" s="284"/>
      <c r="B113" s="540"/>
      <c r="C113" s="350"/>
      <c r="D113" s="544"/>
      <c r="E113" s="298"/>
      <c r="F113" s="1251"/>
      <c r="G113" s="298"/>
      <c r="H113" s="298" t="e">
        <f t="shared" si="4"/>
        <v>#DIV/0!</v>
      </c>
    </row>
    <row r="114" spans="1:8" ht="16.5" hidden="1" customHeight="1">
      <c r="A114" s="284"/>
      <c r="B114" s="540"/>
      <c r="C114" s="350"/>
      <c r="D114" s="297"/>
      <c r="E114" s="298"/>
      <c r="F114" s="1251"/>
      <c r="G114" s="298"/>
      <c r="H114" s="298" t="e">
        <f t="shared" si="4"/>
        <v>#DIV/0!</v>
      </c>
    </row>
    <row r="115" spans="1:8" ht="16.5">
      <c r="A115" s="284"/>
      <c r="B115" s="540"/>
      <c r="C115" s="350"/>
      <c r="D115" s="545" t="s">
        <v>873</v>
      </c>
      <c r="E115" s="546">
        <f>SUM(E93+E99+E100+E111)</f>
        <v>6397</v>
      </c>
      <c r="F115" s="1254">
        <f>SUM(F93+F99+F100+F111)</f>
        <v>3697</v>
      </c>
      <c r="G115" s="546">
        <f>SUM(G93+G99+G100+G111)</f>
        <v>0</v>
      </c>
      <c r="H115" s="546">
        <f t="shared" si="4"/>
        <v>0</v>
      </c>
    </row>
    <row r="116" spans="1:8" ht="16.5">
      <c r="A116" s="284"/>
      <c r="B116" s="535" t="s">
        <v>5</v>
      </c>
      <c r="C116" s="351"/>
      <c r="D116" s="538" t="s">
        <v>197</v>
      </c>
      <c r="E116" s="554"/>
      <c r="F116" s="1255"/>
      <c r="G116" s="554"/>
      <c r="H116" s="554"/>
    </row>
    <row r="117" spans="1:8" ht="16.5">
      <c r="A117" s="284"/>
      <c r="B117" s="540"/>
      <c r="C117" s="351" t="s">
        <v>6</v>
      </c>
      <c r="D117" s="297" t="s">
        <v>508</v>
      </c>
      <c r="E117" s="298">
        <f>SUM(E118:E118)</f>
        <v>720</v>
      </c>
      <c r="F117" s="1251">
        <f>SUM(F118:F118)</f>
        <v>720</v>
      </c>
      <c r="G117" s="298">
        <f>SUM(G118:G118)</f>
        <v>0</v>
      </c>
      <c r="H117" s="298">
        <f t="shared" si="4"/>
        <v>0</v>
      </c>
    </row>
    <row r="118" spans="1:8" ht="16.5">
      <c r="A118" s="284"/>
      <c r="B118" s="540"/>
      <c r="C118" s="351" t="s">
        <v>457</v>
      </c>
      <c r="D118" s="544" t="s">
        <v>907</v>
      </c>
      <c r="E118" s="298">
        <v>720</v>
      </c>
      <c r="F118" s="1251">
        <v>720</v>
      </c>
      <c r="G118" s="298"/>
      <c r="H118" s="298">
        <f t="shared" si="4"/>
        <v>0</v>
      </c>
    </row>
    <row r="119" spans="1:8" ht="16.5">
      <c r="A119" s="284"/>
      <c r="B119" s="540"/>
      <c r="C119" s="351" t="s">
        <v>8</v>
      </c>
      <c r="D119" s="297" t="s">
        <v>509</v>
      </c>
      <c r="E119" s="298">
        <f>SUM(E120:E120)</f>
        <v>197</v>
      </c>
      <c r="F119" s="1251">
        <f>SUM(F120:F120)</f>
        <v>197</v>
      </c>
      <c r="G119" s="298">
        <f>SUM(G120:G120)</f>
        <v>0</v>
      </c>
      <c r="H119" s="298">
        <f t="shared" si="4"/>
        <v>0</v>
      </c>
    </row>
    <row r="120" spans="1:8" ht="16.5">
      <c r="A120" s="284"/>
      <c r="B120" s="540"/>
      <c r="C120" s="351" t="s">
        <v>479</v>
      </c>
      <c r="D120" s="544" t="s">
        <v>907</v>
      </c>
      <c r="E120" s="298">
        <v>197</v>
      </c>
      <c r="F120" s="1251">
        <v>197</v>
      </c>
      <c r="G120" s="298"/>
      <c r="H120" s="298">
        <f t="shared" si="4"/>
        <v>0</v>
      </c>
    </row>
    <row r="121" spans="1:8" ht="16.5">
      <c r="A121" s="284"/>
      <c r="B121" s="540"/>
      <c r="C121" s="351" t="s">
        <v>10</v>
      </c>
      <c r="D121" s="297" t="s">
        <v>201</v>
      </c>
      <c r="E121" s="298">
        <f>SUM(E122:E123)</f>
        <v>2474</v>
      </c>
      <c r="F121" s="1251">
        <f>SUM(F122:F123)</f>
        <v>2474</v>
      </c>
      <c r="G121" s="298">
        <f>SUM(G122:G123)</f>
        <v>0</v>
      </c>
      <c r="H121" s="298">
        <f t="shared" si="4"/>
        <v>0</v>
      </c>
    </row>
    <row r="122" spans="1:8" ht="16.5">
      <c r="A122" s="284"/>
      <c r="B122" s="540"/>
      <c r="C122" s="351" t="s">
        <v>480</v>
      </c>
      <c r="D122" s="544" t="s">
        <v>857</v>
      </c>
      <c r="E122" s="298">
        <v>64</v>
      </c>
      <c r="F122" s="1251">
        <v>64</v>
      </c>
      <c r="G122" s="298"/>
      <c r="H122" s="298">
        <f t="shared" si="4"/>
        <v>0</v>
      </c>
    </row>
    <row r="123" spans="1:8" ht="16.5">
      <c r="A123" s="284"/>
      <c r="B123" s="540"/>
      <c r="C123" s="351" t="s">
        <v>724</v>
      </c>
      <c r="D123" s="544" t="s">
        <v>907</v>
      </c>
      <c r="E123" s="298">
        <v>2410</v>
      </c>
      <c r="F123" s="1251">
        <v>2410</v>
      </c>
      <c r="G123" s="298"/>
      <c r="H123" s="298">
        <f t="shared" si="4"/>
        <v>0</v>
      </c>
    </row>
    <row r="124" spans="1:8" ht="16.5">
      <c r="A124" s="284"/>
      <c r="B124" s="540"/>
      <c r="C124" s="351" t="s">
        <v>12</v>
      </c>
      <c r="D124" s="297" t="s">
        <v>878</v>
      </c>
      <c r="E124" s="298">
        <f>SUM(E125)</f>
        <v>3006</v>
      </c>
      <c r="F124" s="1251">
        <f>SUM(F125)</f>
        <v>3006</v>
      </c>
      <c r="G124" s="298">
        <f>SUM(G125)</f>
        <v>0</v>
      </c>
      <c r="H124" s="298">
        <f t="shared" si="4"/>
        <v>0</v>
      </c>
    </row>
    <row r="125" spans="1:8" ht="16.5">
      <c r="A125" s="284"/>
      <c r="B125" s="540"/>
      <c r="C125" s="351" t="s">
        <v>487</v>
      </c>
      <c r="D125" s="544" t="s">
        <v>861</v>
      </c>
      <c r="E125" s="298">
        <v>3006</v>
      </c>
      <c r="F125" s="1251">
        <v>3006</v>
      </c>
      <c r="G125" s="298"/>
      <c r="H125" s="298">
        <f t="shared" si="4"/>
        <v>0</v>
      </c>
    </row>
    <row r="126" spans="1:8" ht="16.5">
      <c r="A126" s="284"/>
      <c r="B126" s="540"/>
      <c r="C126" s="351" t="s">
        <v>14</v>
      </c>
      <c r="D126" s="297" t="s">
        <v>881</v>
      </c>
      <c r="E126" s="298"/>
      <c r="F126" s="1251"/>
      <c r="G126" s="298"/>
      <c r="H126" s="298"/>
    </row>
    <row r="127" spans="1:8" ht="16.5">
      <c r="A127" s="284"/>
      <c r="B127" s="540"/>
      <c r="C127" s="351" t="s">
        <v>16</v>
      </c>
      <c r="D127" s="297" t="s">
        <v>882</v>
      </c>
      <c r="E127" s="298"/>
      <c r="F127" s="1251"/>
      <c r="G127" s="298"/>
      <c r="H127" s="298"/>
    </row>
    <row r="128" spans="1:8" ht="16.5">
      <c r="A128" s="284"/>
      <c r="B128" s="540"/>
      <c r="C128" s="527" t="s">
        <v>18</v>
      </c>
      <c r="D128" s="297" t="s">
        <v>883</v>
      </c>
      <c r="E128" s="298"/>
      <c r="F128" s="1251"/>
      <c r="G128" s="298"/>
      <c r="H128" s="298"/>
    </row>
    <row r="129" spans="1:11" ht="16.5">
      <c r="A129" s="284"/>
      <c r="B129" s="540"/>
      <c r="C129" s="351"/>
      <c r="D129" s="547" t="s">
        <v>884</v>
      </c>
      <c r="E129" s="546">
        <f>SUM(E117+E119+E121+E124)</f>
        <v>6397</v>
      </c>
      <c r="F129" s="1254">
        <f>SUM(F117+F119+F121+F124)</f>
        <v>6397</v>
      </c>
      <c r="G129" s="546">
        <f>SUM(G117+G119+G121+G124)</f>
        <v>0</v>
      </c>
      <c r="H129" s="546">
        <f t="shared" si="4"/>
        <v>0</v>
      </c>
      <c r="K129" s="322"/>
    </row>
    <row r="130" spans="1:11" ht="16.5">
      <c r="A130" s="284"/>
      <c r="B130" s="535" t="s">
        <v>19</v>
      </c>
      <c r="C130" s="280"/>
      <c r="D130" s="548" t="s">
        <v>903</v>
      </c>
      <c r="E130" s="415"/>
      <c r="F130" s="1259"/>
      <c r="G130" s="415"/>
      <c r="H130" s="415"/>
    </row>
    <row r="131" spans="1:11" ht="16.5">
      <c r="A131" s="534"/>
      <c r="B131" s="535"/>
      <c r="C131" s="279"/>
      <c r="D131" s="567" t="s">
        <v>913</v>
      </c>
      <c r="E131" s="566"/>
      <c r="F131" s="1260"/>
      <c r="G131" s="566"/>
      <c r="H131" s="566"/>
    </row>
    <row r="132" spans="1:11" ht="16.5">
      <c r="A132" s="284"/>
      <c r="B132" s="535" t="s">
        <v>4</v>
      </c>
      <c r="C132" s="351"/>
      <c r="D132" s="538" t="s">
        <v>196</v>
      </c>
      <c r="E132" s="554"/>
      <c r="F132" s="1255"/>
      <c r="G132" s="554"/>
      <c r="H132" s="554"/>
    </row>
    <row r="133" spans="1:11" ht="16.5">
      <c r="A133" s="284"/>
      <c r="B133" s="540"/>
      <c r="C133" s="279" t="s">
        <v>102</v>
      </c>
      <c r="D133" s="297" t="s">
        <v>850</v>
      </c>
      <c r="E133" s="298">
        <v>340</v>
      </c>
      <c r="F133" s="1251">
        <v>340</v>
      </c>
      <c r="G133" s="298"/>
      <c r="H133" s="298">
        <f t="shared" si="4"/>
        <v>0</v>
      </c>
    </row>
    <row r="134" spans="1:11" ht="16.5">
      <c r="A134" s="284"/>
      <c r="B134" s="540"/>
      <c r="C134" s="279" t="s">
        <v>104</v>
      </c>
      <c r="D134" s="297" t="s">
        <v>851</v>
      </c>
      <c r="E134" s="298"/>
      <c r="F134" s="1251"/>
      <c r="G134" s="298"/>
      <c r="H134" s="298"/>
    </row>
    <row r="135" spans="1:11" ht="16.5">
      <c r="A135" s="284"/>
      <c r="B135" s="540"/>
      <c r="C135" s="279" t="s">
        <v>106</v>
      </c>
      <c r="D135" s="297" t="s">
        <v>852</v>
      </c>
      <c r="E135" s="298">
        <f>SUM(E136)</f>
        <v>7759</v>
      </c>
      <c r="F135" s="1251">
        <f>SUM(F136)</f>
        <v>7759</v>
      </c>
      <c r="G135" s="298">
        <f>SUM(G136)</f>
        <v>0</v>
      </c>
      <c r="H135" s="298">
        <f t="shared" si="4"/>
        <v>0</v>
      </c>
    </row>
    <row r="136" spans="1:11" ht="16.5">
      <c r="A136" s="541"/>
      <c r="B136" s="542"/>
      <c r="C136" s="304" t="s">
        <v>389</v>
      </c>
      <c r="D136" s="301" t="s">
        <v>853</v>
      </c>
      <c r="E136" s="302">
        <f>SUM(E137+E139+E141)</f>
        <v>7759</v>
      </c>
      <c r="F136" s="1252">
        <f>SUM(F137+F139+F141)</f>
        <v>7759</v>
      </c>
      <c r="G136" s="302">
        <f>SUM(G137+G139+G141)</f>
        <v>0</v>
      </c>
      <c r="H136" s="302">
        <f t="shared" si="4"/>
        <v>0</v>
      </c>
    </row>
    <row r="137" spans="1:11" ht="31.5" customHeight="1">
      <c r="A137" s="284"/>
      <c r="B137" s="540"/>
      <c r="C137" s="350" t="s">
        <v>854</v>
      </c>
      <c r="D137" s="826" t="s">
        <v>1285</v>
      </c>
      <c r="E137" s="298">
        <f>SUM(E138:E138)</f>
        <v>4713</v>
      </c>
      <c r="F137" s="1251">
        <f>SUM(F138:F138)</f>
        <v>4713</v>
      </c>
      <c r="G137" s="298">
        <f>SUM(G138:G138)</f>
        <v>0</v>
      </c>
      <c r="H137" s="298">
        <f t="shared" si="4"/>
        <v>0</v>
      </c>
    </row>
    <row r="138" spans="1:11" ht="16.5">
      <c r="A138" s="284"/>
      <c r="B138" s="540"/>
      <c r="C138" s="350" t="s">
        <v>856</v>
      </c>
      <c r="D138" s="544" t="s">
        <v>857</v>
      </c>
      <c r="E138" s="298">
        <v>4713</v>
      </c>
      <c r="F138" s="1251">
        <v>4713</v>
      </c>
      <c r="G138" s="298"/>
      <c r="H138" s="298">
        <f t="shared" ref="H138:H181" si="5">G138/F138*100</f>
        <v>0</v>
      </c>
    </row>
    <row r="139" spans="1:11" ht="16.5" hidden="1">
      <c r="A139" s="284"/>
      <c r="B139" s="540"/>
      <c r="C139" s="350" t="s">
        <v>864</v>
      </c>
      <c r="D139" s="543" t="s">
        <v>914</v>
      </c>
      <c r="E139" s="298"/>
      <c r="F139" s="1251">
        <f>SUM(F140)</f>
        <v>0</v>
      </c>
      <c r="G139" s="298">
        <f>SUM(G140)</f>
        <v>0</v>
      </c>
      <c r="H139" s="298" t="e">
        <f t="shared" si="5"/>
        <v>#DIV/0!</v>
      </c>
    </row>
    <row r="140" spans="1:11" ht="16.5" hidden="1">
      <c r="A140" s="284"/>
      <c r="B140" s="540"/>
      <c r="C140" s="350" t="s">
        <v>866</v>
      </c>
      <c r="D140" s="544" t="s">
        <v>857</v>
      </c>
      <c r="E140" s="298"/>
      <c r="F140" s="1251"/>
      <c r="G140" s="298"/>
      <c r="H140" s="298" t="e">
        <f t="shared" si="5"/>
        <v>#DIV/0!</v>
      </c>
    </row>
    <row r="141" spans="1:11" ht="16.5">
      <c r="A141" s="284"/>
      <c r="B141" s="540"/>
      <c r="C141" s="350" t="s">
        <v>870</v>
      </c>
      <c r="D141" s="543" t="s">
        <v>871</v>
      </c>
      <c r="E141" s="298">
        <f>SUM(E142)</f>
        <v>3046</v>
      </c>
      <c r="F141" s="1251">
        <f>SUM(F142)</f>
        <v>3046</v>
      </c>
      <c r="G141" s="298">
        <f>SUM(G142)</f>
        <v>0</v>
      </c>
      <c r="H141" s="298">
        <f t="shared" si="5"/>
        <v>0</v>
      </c>
    </row>
    <row r="142" spans="1:11" ht="16.5">
      <c r="A142" s="284"/>
      <c r="B142" s="540"/>
      <c r="C142" s="350" t="s">
        <v>872</v>
      </c>
      <c r="D142" s="544" t="s">
        <v>857</v>
      </c>
      <c r="E142" s="298">
        <v>3046</v>
      </c>
      <c r="F142" s="1251">
        <v>3046</v>
      </c>
      <c r="G142" s="298"/>
      <c r="H142" s="298">
        <f t="shared" si="5"/>
        <v>0</v>
      </c>
    </row>
    <row r="143" spans="1:11" ht="16.5">
      <c r="A143" s="284"/>
      <c r="B143" s="540"/>
      <c r="C143" s="279" t="s">
        <v>108</v>
      </c>
      <c r="D143" s="297" t="s">
        <v>915</v>
      </c>
      <c r="E143" s="298">
        <f>SUM(E144)</f>
        <v>2833</v>
      </c>
      <c r="F143" s="1251">
        <f>SUM(F144)</f>
        <v>2833</v>
      </c>
      <c r="G143" s="298">
        <f>SUM(G144)</f>
        <v>0</v>
      </c>
      <c r="H143" s="298">
        <f t="shared" si="5"/>
        <v>0</v>
      </c>
    </row>
    <row r="144" spans="1:11" ht="16.5">
      <c r="A144" s="284"/>
      <c r="B144" s="540"/>
      <c r="C144" s="350" t="s">
        <v>428</v>
      </c>
      <c r="D144" s="544" t="s">
        <v>912</v>
      </c>
      <c r="E144" s="298">
        <v>2833</v>
      </c>
      <c r="F144" s="1251">
        <v>2833</v>
      </c>
      <c r="G144" s="298"/>
      <c r="H144" s="298">
        <f t="shared" si="5"/>
        <v>0</v>
      </c>
    </row>
    <row r="145" spans="1:11" ht="16.5">
      <c r="A145" s="284"/>
      <c r="B145" s="540"/>
      <c r="C145" s="350"/>
      <c r="D145" s="297"/>
      <c r="E145" s="298"/>
      <c r="F145" s="1251"/>
      <c r="G145" s="298"/>
      <c r="H145" s="298"/>
    </row>
    <row r="146" spans="1:11" ht="16.5">
      <c r="A146" s="284"/>
      <c r="B146" s="540"/>
      <c r="C146" s="350"/>
      <c r="D146" s="545" t="s">
        <v>873</v>
      </c>
      <c r="E146" s="546">
        <f>SUM(E133+E135+E134+E143)</f>
        <v>10932</v>
      </c>
      <c r="F146" s="1254">
        <f>SUM(F133+F135+F134+F143)</f>
        <v>10932</v>
      </c>
      <c r="G146" s="546">
        <f>SUM(G133+G135+G134+G143)</f>
        <v>0</v>
      </c>
      <c r="H146" s="546">
        <f t="shared" si="5"/>
        <v>0</v>
      </c>
      <c r="K146" s="322">
        <f>SUM(E162-E146)</f>
        <v>0</v>
      </c>
    </row>
    <row r="147" spans="1:11" ht="16.5">
      <c r="A147" s="284"/>
      <c r="B147" s="535" t="s">
        <v>5</v>
      </c>
      <c r="C147" s="351"/>
      <c r="D147" s="538" t="s">
        <v>197</v>
      </c>
      <c r="E147" s="554"/>
      <c r="F147" s="1255"/>
      <c r="G147" s="554"/>
      <c r="H147" s="554"/>
      <c r="I147" s="322"/>
    </row>
    <row r="148" spans="1:11" ht="16.5">
      <c r="A148" s="284"/>
      <c r="B148" s="540"/>
      <c r="C148" s="351" t="s">
        <v>6</v>
      </c>
      <c r="D148" s="297" t="s">
        <v>508</v>
      </c>
      <c r="E148" s="298">
        <f>SUM(E149:E149)</f>
        <v>6006</v>
      </c>
      <c r="F148" s="1251">
        <f>SUM(F149:F149)</f>
        <v>6006</v>
      </c>
      <c r="G148" s="298">
        <f>SUM(G149:G149)</f>
        <v>0</v>
      </c>
      <c r="H148" s="298">
        <f t="shared" si="5"/>
        <v>0</v>
      </c>
    </row>
    <row r="149" spans="1:11" ht="16.5">
      <c r="A149" s="284"/>
      <c r="B149" s="540"/>
      <c r="C149" s="351" t="s">
        <v>457</v>
      </c>
      <c r="D149" s="544" t="s">
        <v>907</v>
      </c>
      <c r="E149" s="298">
        <v>6006</v>
      </c>
      <c r="F149" s="1251">
        <v>6006</v>
      </c>
      <c r="G149" s="298"/>
      <c r="H149" s="298">
        <f t="shared" si="5"/>
        <v>0</v>
      </c>
    </row>
    <row r="150" spans="1:11" ht="16.5">
      <c r="A150" s="284"/>
      <c r="B150" s="540"/>
      <c r="C150" s="351" t="s">
        <v>475</v>
      </c>
      <c r="D150" s="544" t="s">
        <v>857</v>
      </c>
      <c r="E150" s="298"/>
      <c r="F150" s="1251"/>
      <c r="G150" s="298"/>
      <c r="H150" s="298"/>
    </row>
    <row r="151" spans="1:11" ht="16.5">
      <c r="A151" s="284"/>
      <c r="B151" s="540"/>
      <c r="C151" s="351" t="s">
        <v>8</v>
      </c>
      <c r="D151" s="297" t="s">
        <v>509</v>
      </c>
      <c r="E151" s="298">
        <f>SUM(E152:E152)</f>
        <v>1595</v>
      </c>
      <c r="F151" s="1251">
        <f>SUM(F152:F152)</f>
        <v>1595</v>
      </c>
      <c r="G151" s="298">
        <f>SUM(G152:G152)</f>
        <v>0</v>
      </c>
      <c r="H151" s="298">
        <f t="shared" si="5"/>
        <v>0</v>
      </c>
    </row>
    <row r="152" spans="1:11" ht="16.5">
      <c r="A152" s="284"/>
      <c r="B152" s="540"/>
      <c r="C152" s="351" t="s">
        <v>479</v>
      </c>
      <c r="D152" s="544" t="s">
        <v>907</v>
      </c>
      <c r="E152" s="298">
        <v>1595</v>
      </c>
      <c r="F152" s="1251">
        <v>1595</v>
      </c>
      <c r="G152" s="298"/>
      <c r="H152" s="298">
        <f t="shared" si="5"/>
        <v>0</v>
      </c>
    </row>
    <row r="153" spans="1:11" ht="16.5">
      <c r="A153" s="284"/>
      <c r="B153" s="540"/>
      <c r="C153" s="351" t="s">
        <v>874</v>
      </c>
      <c r="D153" s="544" t="s">
        <v>857</v>
      </c>
      <c r="E153" s="298"/>
      <c r="F153" s="1251"/>
      <c r="G153" s="298"/>
      <c r="H153" s="298"/>
    </row>
    <row r="154" spans="1:11" ht="16.5">
      <c r="A154" s="284"/>
      <c r="B154" s="540"/>
      <c r="C154" s="351" t="s">
        <v>10</v>
      </c>
      <c r="D154" s="297" t="s">
        <v>201</v>
      </c>
      <c r="E154" s="298">
        <f>SUM(E155:E156)</f>
        <v>498</v>
      </c>
      <c r="F154" s="1251">
        <f>SUM(F155:F156)</f>
        <v>498</v>
      </c>
      <c r="G154" s="298">
        <f>SUM(G155:G156)</f>
        <v>0</v>
      </c>
      <c r="H154" s="298">
        <f t="shared" si="5"/>
        <v>0</v>
      </c>
    </row>
    <row r="155" spans="1:11" ht="16.5">
      <c r="A155" s="284"/>
      <c r="B155" s="540"/>
      <c r="C155" s="351" t="s">
        <v>480</v>
      </c>
      <c r="D155" s="544" t="s">
        <v>916</v>
      </c>
      <c r="E155" s="298">
        <v>285</v>
      </c>
      <c r="F155" s="1251">
        <v>285</v>
      </c>
      <c r="G155" s="298"/>
      <c r="H155" s="298">
        <f t="shared" si="5"/>
        <v>0</v>
      </c>
    </row>
    <row r="156" spans="1:11" ht="16.5">
      <c r="A156" s="284"/>
      <c r="B156" s="540"/>
      <c r="C156" s="351" t="s">
        <v>724</v>
      </c>
      <c r="D156" s="544" t="s">
        <v>857</v>
      </c>
      <c r="E156" s="298">
        <v>213</v>
      </c>
      <c r="F156" s="1251">
        <v>213</v>
      </c>
      <c r="G156" s="298"/>
      <c r="H156" s="298">
        <f t="shared" si="5"/>
        <v>0</v>
      </c>
    </row>
    <row r="157" spans="1:11" ht="16.5">
      <c r="A157" s="284"/>
      <c r="B157" s="540"/>
      <c r="C157" s="351" t="s">
        <v>10</v>
      </c>
      <c r="D157" s="297" t="s">
        <v>878</v>
      </c>
      <c r="E157" s="298">
        <f>SUM(E158)</f>
        <v>2833</v>
      </c>
      <c r="F157" s="1251">
        <f>SUM(F158)</f>
        <v>2833</v>
      </c>
      <c r="G157" s="298">
        <f>SUM(G158)</f>
        <v>0</v>
      </c>
      <c r="H157" s="298">
        <f t="shared" si="5"/>
        <v>0</v>
      </c>
    </row>
    <row r="158" spans="1:11" ht="16.5">
      <c r="A158" s="284"/>
      <c r="B158" s="540"/>
      <c r="C158" s="351" t="s">
        <v>480</v>
      </c>
      <c r="D158" s="544" t="s">
        <v>861</v>
      </c>
      <c r="E158" s="298">
        <v>2833</v>
      </c>
      <c r="F158" s="1251">
        <v>2833</v>
      </c>
      <c r="G158" s="298"/>
      <c r="H158" s="298">
        <f t="shared" si="5"/>
        <v>0</v>
      </c>
    </row>
    <row r="159" spans="1:11" ht="16.5">
      <c r="A159" s="284"/>
      <c r="B159" s="540"/>
      <c r="C159" s="351" t="s">
        <v>12</v>
      </c>
      <c r="D159" s="297" t="s">
        <v>881</v>
      </c>
      <c r="E159" s="298"/>
      <c r="F159" s="1251"/>
      <c r="G159" s="298"/>
      <c r="H159" s="298"/>
    </row>
    <row r="160" spans="1:11" ht="16.5">
      <c r="A160" s="284"/>
      <c r="B160" s="540"/>
      <c r="C160" s="351" t="s">
        <v>14</v>
      </c>
      <c r="D160" s="297" t="s">
        <v>882</v>
      </c>
      <c r="E160" s="298"/>
      <c r="F160" s="1251"/>
      <c r="G160" s="298"/>
      <c r="H160" s="298"/>
    </row>
    <row r="161" spans="1:11" ht="16.5">
      <c r="A161" s="284"/>
      <c r="B161" s="540"/>
      <c r="C161" s="351" t="s">
        <v>16</v>
      </c>
      <c r="D161" s="297" t="s">
        <v>883</v>
      </c>
      <c r="E161" s="298"/>
      <c r="F161" s="1251"/>
      <c r="G161" s="298"/>
      <c r="H161" s="298"/>
    </row>
    <row r="162" spans="1:11" ht="16.5">
      <c r="A162" s="284"/>
      <c r="B162" s="540"/>
      <c r="C162" s="351"/>
      <c r="D162" s="547" t="s">
        <v>884</v>
      </c>
      <c r="E162" s="546">
        <f>SUM(E148+E151+E154+E157+E159+E160+E161)</f>
        <v>10932</v>
      </c>
      <c r="F162" s="1254">
        <f>SUM(F148+F151+F154+F157+F159+F160+F161)</f>
        <v>10932</v>
      </c>
      <c r="G162" s="546">
        <f>SUM(G148+G151+G154+G157+G159+G160+G161)</f>
        <v>0</v>
      </c>
      <c r="H162" s="546">
        <f t="shared" si="5"/>
        <v>0</v>
      </c>
      <c r="K162" s="322"/>
    </row>
    <row r="163" spans="1:11" ht="16.5">
      <c r="A163" s="284"/>
      <c r="B163" s="535" t="s">
        <v>19</v>
      </c>
      <c r="C163" s="280"/>
      <c r="D163" s="548" t="s">
        <v>903</v>
      </c>
      <c r="E163" s="415"/>
      <c r="F163" s="1259"/>
      <c r="G163" s="415"/>
      <c r="H163" s="415"/>
    </row>
    <row r="164" spans="1:11" ht="16.5">
      <c r="A164" s="568"/>
      <c r="B164" s="559"/>
      <c r="C164" s="560"/>
      <c r="D164" s="538" t="s">
        <v>917</v>
      </c>
      <c r="E164" s="569"/>
      <c r="F164" s="1261"/>
      <c r="G164" s="569"/>
      <c r="H164" s="569"/>
    </row>
    <row r="165" spans="1:11" ht="16.5">
      <c r="A165" s="534"/>
      <c r="B165" s="535"/>
      <c r="C165" s="280"/>
      <c r="D165" s="562" t="s">
        <v>918</v>
      </c>
      <c r="E165" s="298"/>
      <c r="F165" s="1251"/>
      <c r="G165" s="298"/>
      <c r="H165" s="298"/>
    </row>
    <row r="166" spans="1:11" ht="16.5">
      <c r="A166" s="284"/>
      <c r="B166" s="535" t="s">
        <v>4</v>
      </c>
      <c r="C166" s="351"/>
      <c r="D166" s="538" t="s">
        <v>196</v>
      </c>
      <c r="E166" s="554"/>
      <c r="F166" s="1255"/>
      <c r="G166" s="554"/>
      <c r="H166" s="554"/>
    </row>
    <row r="167" spans="1:11" ht="16.5">
      <c r="A167" s="284"/>
      <c r="B167" s="540"/>
      <c r="C167" s="279" t="s">
        <v>102</v>
      </c>
      <c r="D167" s="297" t="s">
        <v>850</v>
      </c>
      <c r="E167" s="298">
        <v>3092</v>
      </c>
      <c r="F167" s="1251">
        <v>3092</v>
      </c>
      <c r="G167" s="298"/>
      <c r="H167" s="298">
        <f t="shared" si="5"/>
        <v>0</v>
      </c>
    </row>
    <row r="168" spans="1:11" ht="16.5">
      <c r="A168" s="284"/>
      <c r="B168" s="540"/>
      <c r="C168" s="279" t="s">
        <v>104</v>
      </c>
      <c r="D168" s="297" t="s">
        <v>851</v>
      </c>
      <c r="E168" s="298"/>
      <c r="F168" s="1251"/>
      <c r="G168" s="298"/>
      <c r="H168" s="298"/>
    </row>
    <row r="169" spans="1:11" ht="16.5">
      <c r="A169" s="284"/>
      <c r="B169" s="540"/>
      <c r="C169" s="279" t="s">
        <v>106</v>
      </c>
      <c r="D169" s="297" t="s">
        <v>852</v>
      </c>
      <c r="E169" s="298">
        <f>SUM(E170)</f>
        <v>11743</v>
      </c>
      <c r="F169" s="1251">
        <f>SUM(F170)</f>
        <v>11826</v>
      </c>
      <c r="G169" s="298">
        <f>SUM(G170)</f>
        <v>0</v>
      </c>
      <c r="H169" s="298">
        <f t="shared" si="5"/>
        <v>0</v>
      </c>
    </row>
    <row r="170" spans="1:11" ht="16.5">
      <c r="A170" s="541"/>
      <c r="B170" s="542"/>
      <c r="C170" s="304" t="s">
        <v>389</v>
      </c>
      <c r="D170" s="301" t="s">
        <v>853</v>
      </c>
      <c r="E170" s="302">
        <f>SUM(E171:E172)</f>
        <v>11743</v>
      </c>
      <c r="F170" s="1252">
        <f>SUM(F171:F172)</f>
        <v>11826</v>
      </c>
      <c r="G170" s="302">
        <f>SUM(G171:G172)</f>
        <v>0</v>
      </c>
      <c r="H170" s="302">
        <f t="shared" si="5"/>
        <v>0</v>
      </c>
    </row>
    <row r="171" spans="1:11" ht="16.5">
      <c r="A171" s="284"/>
      <c r="B171" s="540"/>
      <c r="C171" s="350" t="s">
        <v>854</v>
      </c>
      <c r="D171" s="297" t="s">
        <v>919</v>
      </c>
      <c r="E171" s="298">
        <v>4429</v>
      </c>
      <c r="F171" s="1251">
        <v>4512</v>
      </c>
      <c r="G171" s="298"/>
      <c r="H171" s="298">
        <f t="shared" si="5"/>
        <v>0</v>
      </c>
    </row>
    <row r="172" spans="1:11" ht="16.5">
      <c r="A172" s="284"/>
      <c r="B172" s="540"/>
      <c r="C172" s="350" t="s">
        <v>870</v>
      </c>
      <c r="D172" s="543" t="s">
        <v>871</v>
      </c>
      <c r="E172" s="298">
        <v>7314</v>
      </c>
      <c r="F172" s="1251">
        <v>7314</v>
      </c>
      <c r="G172" s="298"/>
      <c r="H172" s="298">
        <f t="shared" si="5"/>
        <v>0</v>
      </c>
      <c r="K172" s="322">
        <f>SUM(E181-E173)</f>
        <v>0</v>
      </c>
    </row>
    <row r="173" spans="1:11" ht="16.5">
      <c r="A173" s="284"/>
      <c r="B173" s="540"/>
      <c r="C173" s="350"/>
      <c r="D173" s="545" t="s">
        <v>873</v>
      </c>
      <c r="E173" s="546">
        <f>SUM(E167:E169)</f>
        <v>14835</v>
      </c>
      <c r="F173" s="1254">
        <f>SUM(F167:F169)</f>
        <v>14918</v>
      </c>
      <c r="G173" s="546">
        <f>SUM(G167:G169)</f>
        <v>0</v>
      </c>
      <c r="H173" s="546">
        <f t="shared" si="5"/>
        <v>0</v>
      </c>
    </row>
    <row r="174" spans="1:11" ht="16.5">
      <c r="A174" s="284"/>
      <c r="B174" s="535" t="s">
        <v>5</v>
      </c>
      <c r="C174" s="351"/>
      <c r="D174" s="538" t="s">
        <v>197</v>
      </c>
      <c r="E174" s="554"/>
      <c r="F174" s="1255"/>
      <c r="G174" s="554"/>
      <c r="H174" s="554"/>
    </row>
    <row r="175" spans="1:11" ht="16.5">
      <c r="A175" s="284"/>
      <c r="B175" s="540"/>
      <c r="C175" s="351" t="s">
        <v>6</v>
      </c>
      <c r="D175" s="297" t="s">
        <v>508</v>
      </c>
      <c r="E175" s="298">
        <v>4547</v>
      </c>
      <c r="F175" s="1251">
        <v>4612</v>
      </c>
      <c r="G175" s="298"/>
      <c r="H175" s="298">
        <f t="shared" si="5"/>
        <v>0</v>
      </c>
    </row>
    <row r="176" spans="1:11" ht="16.5">
      <c r="A176" s="284"/>
      <c r="B176" s="540"/>
      <c r="C176" s="351" t="s">
        <v>8</v>
      </c>
      <c r="D176" s="297" t="s">
        <v>509</v>
      </c>
      <c r="E176" s="298">
        <v>1218</v>
      </c>
      <c r="F176" s="1251">
        <v>1236</v>
      </c>
      <c r="G176" s="298"/>
      <c r="H176" s="298">
        <f t="shared" si="5"/>
        <v>0</v>
      </c>
    </row>
    <row r="177" spans="1:11" ht="16.5">
      <c r="A177" s="284"/>
      <c r="B177" s="540"/>
      <c r="C177" s="351" t="s">
        <v>10</v>
      </c>
      <c r="D177" s="297" t="s">
        <v>201</v>
      </c>
      <c r="E177" s="298">
        <v>9070</v>
      </c>
      <c r="F177" s="1251">
        <v>9070</v>
      </c>
      <c r="G177" s="298"/>
      <c r="H177" s="298">
        <f t="shared" si="5"/>
        <v>0</v>
      </c>
    </row>
    <row r="178" spans="1:11" ht="16.5">
      <c r="A178" s="284"/>
      <c r="B178" s="540"/>
      <c r="C178" s="351" t="s">
        <v>12</v>
      </c>
      <c r="D178" s="297" t="s">
        <v>881</v>
      </c>
      <c r="E178" s="298"/>
      <c r="F178" s="1251"/>
      <c r="G178" s="298"/>
      <c r="H178" s="298"/>
    </row>
    <row r="179" spans="1:11" ht="16.5">
      <c r="A179" s="284"/>
      <c r="B179" s="540"/>
      <c r="C179" s="351" t="s">
        <v>14</v>
      </c>
      <c r="D179" s="297" t="s">
        <v>882</v>
      </c>
      <c r="E179" s="298"/>
      <c r="F179" s="1251"/>
      <c r="G179" s="298"/>
      <c r="H179" s="298"/>
    </row>
    <row r="180" spans="1:11" ht="16.5">
      <c r="A180" s="284"/>
      <c r="B180" s="540"/>
      <c r="C180" s="351" t="s">
        <v>16</v>
      </c>
      <c r="D180" s="297" t="s">
        <v>883</v>
      </c>
      <c r="E180" s="298"/>
      <c r="F180" s="1251"/>
      <c r="G180" s="298"/>
      <c r="H180" s="298"/>
    </row>
    <row r="181" spans="1:11" ht="16.5">
      <c r="A181" s="284"/>
      <c r="B181" s="540"/>
      <c r="C181" s="351"/>
      <c r="D181" s="547" t="s">
        <v>884</v>
      </c>
      <c r="E181" s="546">
        <f>SUM(E175,E176,E177,E178,E179,E180)</f>
        <v>14835</v>
      </c>
      <c r="F181" s="1254">
        <f>SUM(F175,F176,F177,F178,F179,F180)</f>
        <v>14918</v>
      </c>
      <c r="G181" s="546">
        <f>SUM(G175,G176,G177,G178,G179,G180)</f>
        <v>0</v>
      </c>
      <c r="H181" s="546">
        <f t="shared" si="5"/>
        <v>0</v>
      </c>
      <c r="K181" s="322"/>
    </row>
    <row r="182" spans="1:11" ht="16.5">
      <c r="A182" s="284"/>
      <c r="B182" s="535" t="s">
        <v>19</v>
      </c>
      <c r="C182" s="280"/>
      <c r="D182" s="548" t="s">
        <v>903</v>
      </c>
      <c r="E182" s="415">
        <v>3</v>
      </c>
      <c r="F182" s="1259">
        <v>3</v>
      </c>
      <c r="G182" s="415">
        <v>3</v>
      </c>
      <c r="H182" s="415"/>
    </row>
  </sheetData>
  <sheetProtection selectLockedCells="1" selectUnlockedCells="1"/>
  <mergeCells count="3">
    <mergeCell ref="A1:C1"/>
    <mergeCell ref="D2:H2"/>
    <mergeCell ref="D3:E3"/>
  </mergeCells>
  <printOptions horizontalCentered="1"/>
  <pageMargins left="0" right="0" top="1.1417322834645669" bottom="0.39370078740157483" header="0.27559055118110237" footer="0.11811023622047245"/>
  <pageSetup paperSize="9" scale="98" firstPageNumber="94" orientation="portrait" r:id="rId1"/>
  <headerFooter alignWithMargins="0">
    <oddHeader>&amp;C&amp;"Times New Roman,Félkövér"&amp;14Tájékoztató a Mikró Kistérségi Társulás 
intézményeinek datairól Vecsés vonatkozásában&amp;R&amp;"Times New Roman,Normál"&amp;12 5.10.1. sz. melléklet
Ezer Ft</oddHeader>
    <oddFooter>&amp;C- &amp;P -</oddFooter>
  </headerFooter>
  <rowBreaks count="3" manualBreakCount="3">
    <brk id="90" max="16383" man="1"/>
    <brk id="130" max="16383" man="1"/>
    <brk id="163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BreakPreview" topLeftCell="A4" zoomScaleNormal="140" zoomScaleSheetLayoutView="100" workbookViewId="0">
      <selection activeCell="F24" sqref="F24"/>
    </sheetView>
  </sheetViews>
  <sheetFormatPr defaultRowHeight="12.75"/>
  <cols>
    <col min="1" max="1" width="6.5" style="151" customWidth="1"/>
    <col min="2" max="2" width="9.6640625" style="152" customWidth="1"/>
    <col min="3" max="3" width="61.6640625" style="152" customWidth="1"/>
    <col min="4" max="4" width="15.1640625" style="152" customWidth="1"/>
    <col min="5" max="5" width="13.83203125" style="152" customWidth="1"/>
    <col min="6" max="6" width="12" style="152" customWidth="1"/>
    <col min="7" max="7" width="9.1640625" style="152" customWidth="1"/>
    <col min="8" max="9" width="9.33203125" style="152"/>
    <col min="10" max="10" width="15.33203125" style="152" customWidth="1"/>
    <col min="11" max="12" width="9.83203125" style="152" bestFit="1" customWidth="1"/>
    <col min="13" max="16384" width="9.33203125" style="152"/>
  </cols>
  <sheetData>
    <row r="1" spans="1:7" s="523" customFormat="1" ht="15" customHeight="1" thickBot="1">
      <c r="A1" s="433"/>
      <c r="B1" s="434"/>
      <c r="C1" s="435"/>
      <c r="D1" s="1944" t="s">
        <v>1382</v>
      </c>
      <c r="E1" s="1944"/>
      <c r="F1" s="1944"/>
      <c r="G1" s="1944"/>
    </row>
    <row r="2" spans="1:7" s="524" customFormat="1" ht="30" customHeight="1" thickBot="1">
      <c r="A2" s="1901" t="s">
        <v>760</v>
      </c>
      <c r="B2" s="1901"/>
      <c r="C2" s="153" t="s">
        <v>920</v>
      </c>
      <c r="D2" s="1950" t="s">
        <v>1259</v>
      </c>
      <c r="E2" s="456"/>
      <c r="F2" s="456"/>
      <c r="G2" s="456"/>
    </row>
    <row r="3" spans="1:7" s="524" customFormat="1" ht="30" customHeight="1" thickBot="1">
      <c r="A3" s="1901" t="s">
        <v>258</v>
      </c>
      <c r="B3" s="1901"/>
      <c r="C3" s="156" t="s">
        <v>921</v>
      </c>
      <c r="D3" s="1951"/>
      <c r="E3" s="437"/>
      <c r="F3" s="437"/>
      <c r="G3" s="437"/>
    </row>
    <row r="4" spans="1:7" s="524" customFormat="1" ht="15" customHeight="1" thickBot="1">
      <c r="A4" s="157"/>
      <c r="B4" s="157"/>
      <c r="C4" s="555"/>
      <c r="D4" s="1908" t="s">
        <v>194</v>
      </c>
      <c r="E4" s="1908"/>
      <c r="F4" s="1908"/>
      <c r="G4" s="1908"/>
    </row>
    <row r="5" spans="1:7" s="177" customFormat="1" ht="32.25" customHeight="1" thickBo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7" s="525" customFormat="1" ht="15" customHeight="1">
      <c r="A6" s="160">
        <v>1</v>
      </c>
      <c r="B6" s="163">
        <v>2</v>
      </c>
      <c r="C6" s="163">
        <v>3</v>
      </c>
      <c r="D6" s="164">
        <v>4</v>
      </c>
      <c r="E6" s="164">
        <v>5</v>
      </c>
      <c r="F6" s="164">
        <v>6</v>
      </c>
      <c r="G6" s="164">
        <v>7</v>
      </c>
    </row>
    <row r="7" spans="1:7" s="525" customFormat="1" ht="15" customHeight="1">
      <c r="A7" s="256"/>
      <c r="B7" s="257"/>
      <c r="C7" s="500" t="s">
        <v>196</v>
      </c>
      <c r="D7" s="258"/>
      <c r="E7" s="258"/>
      <c r="F7" s="258"/>
      <c r="G7" s="258"/>
    </row>
    <row r="8" spans="1:7" s="173" customFormat="1" ht="15" customHeight="1">
      <c r="A8" s="170" t="s">
        <v>4</v>
      </c>
      <c r="B8" s="171"/>
      <c r="C8" s="172" t="s">
        <v>762</v>
      </c>
      <c r="D8" s="242">
        <f>SUM(D9:D16)</f>
        <v>19150</v>
      </c>
      <c r="E8" s="242">
        <f t="shared" ref="E8:F8" si="0">SUM(E9:E16)</f>
        <v>21909</v>
      </c>
      <c r="F8" s="242">
        <f t="shared" si="0"/>
        <v>22812</v>
      </c>
      <c r="G8" s="242">
        <f>F8/E8*100</f>
        <v>104.12159386553472</v>
      </c>
    </row>
    <row r="9" spans="1:7" s="173" customFormat="1" ht="15" customHeight="1">
      <c r="A9" s="181"/>
      <c r="B9" s="175" t="s">
        <v>102</v>
      </c>
      <c r="C9" s="19" t="s">
        <v>22</v>
      </c>
      <c r="D9" s="245">
        <v>0</v>
      </c>
      <c r="E9" s="245"/>
      <c r="F9" s="245"/>
      <c r="G9" s="245"/>
    </row>
    <row r="10" spans="1:7" s="173" customFormat="1" ht="15" customHeight="1">
      <c r="A10" s="174"/>
      <c r="B10" s="175" t="s">
        <v>104</v>
      </c>
      <c r="C10" s="15" t="s">
        <v>24</v>
      </c>
      <c r="D10" s="243">
        <f>SUM('5.11.1. sz. mell.'!S91)</f>
        <v>19150</v>
      </c>
      <c r="E10" s="243">
        <f>SUM('5.11.1. sz. mell.'!T91)</f>
        <v>21909</v>
      </c>
      <c r="F10" s="243">
        <f>SUM('5.11.1. sz. mell.'!U91)</f>
        <v>22812</v>
      </c>
      <c r="G10" s="243">
        <f>F10/E10*100</f>
        <v>104.12159386553472</v>
      </c>
    </row>
    <row r="11" spans="1:7" s="173" customFormat="1" ht="15" customHeight="1">
      <c r="A11" s="174"/>
      <c r="B11" s="175" t="s">
        <v>106</v>
      </c>
      <c r="C11" s="15" t="s">
        <v>26</v>
      </c>
      <c r="D11" s="243">
        <v>0</v>
      </c>
      <c r="E11" s="243">
        <v>0</v>
      </c>
      <c r="F11" s="243">
        <v>0</v>
      </c>
      <c r="G11" s="243"/>
    </row>
    <row r="12" spans="1:7" s="173" customFormat="1" ht="15" customHeight="1">
      <c r="A12" s="174"/>
      <c r="B12" s="175" t="s">
        <v>108</v>
      </c>
      <c r="C12" s="15" t="s">
        <v>28</v>
      </c>
      <c r="D12" s="243">
        <v>0</v>
      </c>
      <c r="E12" s="243">
        <v>0</v>
      </c>
      <c r="F12" s="243">
        <v>0</v>
      </c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>
        <v>0</v>
      </c>
      <c r="E13" s="243">
        <v>0</v>
      </c>
      <c r="F13" s="243">
        <v>0</v>
      </c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4">
        <v>0</v>
      </c>
      <c r="E14" s="244">
        <v>0</v>
      </c>
      <c r="F14" s="244">
        <v>0</v>
      </c>
      <c r="G14" s="244"/>
    </row>
    <row r="15" spans="1:7" s="177" customFormat="1" ht="15" customHeight="1">
      <c r="A15" s="174"/>
      <c r="B15" s="175" t="s">
        <v>437</v>
      </c>
      <c r="C15" s="15" t="s">
        <v>34</v>
      </c>
      <c r="D15" s="243">
        <v>0</v>
      </c>
      <c r="E15" s="243">
        <v>0</v>
      </c>
      <c r="F15" s="243">
        <v>0</v>
      </c>
      <c r="G15" s="243"/>
    </row>
    <row r="16" spans="1:7" s="177" customFormat="1" ht="15" customHeight="1">
      <c r="A16" s="183"/>
      <c r="B16" s="184" t="s">
        <v>439</v>
      </c>
      <c r="C16" s="22" t="s">
        <v>36</v>
      </c>
      <c r="D16" s="246">
        <v>0</v>
      </c>
      <c r="E16" s="246">
        <v>0</v>
      </c>
      <c r="F16" s="246">
        <v>0</v>
      </c>
      <c r="G16" s="246"/>
    </row>
    <row r="17" spans="1:12" s="173" customFormat="1" ht="15" customHeight="1">
      <c r="A17" s="170" t="s">
        <v>5</v>
      </c>
      <c r="B17" s="171"/>
      <c r="C17" s="211" t="s">
        <v>1635</v>
      </c>
      <c r="D17" s="242">
        <f>SUM(D18:D21)</f>
        <v>442256</v>
      </c>
      <c r="E17" s="242">
        <f t="shared" ref="E17:F17" si="1">SUM(E18:E21)</f>
        <v>420756</v>
      </c>
      <c r="F17" s="242">
        <f t="shared" si="1"/>
        <v>415579</v>
      </c>
      <c r="G17" s="242">
        <f>F17/E17*100</f>
        <v>98.769595680156669</v>
      </c>
    </row>
    <row r="18" spans="1:12" s="177" customFormat="1" ht="15" customHeight="1">
      <c r="A18" s="174"/>
      <c r="B18" s="175" t="s">
        <v>6</v>
      </c>
      <c r="C18" s="27" t="s">
        <v>1636</v>
      </c>
      <c r="D18" s="243">
        <f>SUM('5.11.1. sz. mell.'!S96)</f>
        <v>442256</v>
      </c>
      <c r="E18" s="243">
        <f>SUM('5.11.1. sz. mell.'!T96)</f>
        <v>420756</v>
      </c>
      <c r="F18" s="243">
        <f>SUM('5.11.1. sz. mell.'!U96)</f>
        <v>415579</v>
      </c>
      <c r="G18" s="243">
        <f>F18/E18*100</f>
        <v>98.769595680156669</v>
      </c>
    </row>
    <row r="19" spans="1:12" s="177" customFormat="1" ht="15" customHeight="1">
      <c r="A19" s="174"/>
      <c r="B19" s="175" t="s">
        <v>8</v>
      </c>
      <c r="C19" s="15" t="s">
        <v>1637</v>
      </c>
      <c r="D19" s="243">
        <v>0</v>
      </c>
      <c r="E19" s="243">
        <v>0</v>
      </c>
      <c r="F19" s="243"/>
      <c r="G19" s="243" t="e">
        <f>F19/E19*100</f>
        <v>#DIV/0!</v>
      </c>
    </row>
    <row r="20" spans="1:12" s="177" customFormat="1" ht="15" customHeight="1">
      <c r="A20" s="174"/>
      <c r="B20" s="175" t="s">
        <v>10</v>
      </c>
      <c r="C20" s="15" t="s">
        <v>766</v>
      </c>
      <c r="D20" s="243">
        <v>0</v>
      </c>
      <c r="E20" s="243">
        <v>0</v>
      </c>
      <c r="F20" s="243">
        <v>0</v>
      </c>
      <c r="G20" s="243"/>
    </row>
    <row r="21" spans="1:12" s="177" customFormat="1" ht="15" customHeight="1">
      <c r="A21" s="174"/>
      <c r="B21" s="175" t="s">
        <v>12</v>
      </c>
      <c r="C21" s="15" t="s">
        <v>767</v>
      </c>
      <c r="D21" s="243">
        <v>0</v>
      </c>
      <c r="E21" s="243">
        <v>0</v>
      </c>
      <c r="F21" s="243"/>
      <c r="G21" s="243"/>
    </row>
    <row r="22" spans="1:12" s="177" customFormat="1" ht="15" customHeight="1" thickBot="1">
      <c r="A22" s="178"/>
      <c r="B22" s="1284"/>
      <c r="C22" s="297" t="s">
        <v>2059</v>
      </c>
      <c r="D22" s="244"/>
      <c r="E22" s="244"/>
      <c r="F22" s="244">
        <f>SUM('5.11.1. sz. mell.'!K9)</f>
        <v>80</v>
      </c>
      <c r="G22" s="244"/>
    </row>
    <row r="23" spans="1:12" s="177" customFormat="1" ht="15" customHeight="1" thickBot="1">
      <c r="A23" s="170" t="s">
        <v>19</v>
      </c>
      <c r="B23" s="12"/>
      <c r="C23" s="12" t="s">
        <v>768</v>
      </c>
      <c r="D23" s="209">
        <v>0</v>
      </c>
      <c r="E23" s="209">
        <v>0</v>
      </c>
      <c r="F23" s="209">
        <f>SUM('5.11.1. sz. mell.'!K19)+'5.11.1. sz. mell.'!K10</f>
        <v>400</v>
      </c>
      <c r="G23" s="209" t="e">
        <f>F23/E23*100</f>
        <v>#DIV/0!</v>
      </c>
    </row>
    <row r="24" spans="1:12" s="173" customFormat="1" ht="15" customHeight="1">
      <c r="A24" s="170" t="s">
        <v>149</v>
      </c>
      <c r="B24" s="171"/>
      <c r="C24" s="12" t="s">
        <v>810</v>
      </c>
      <c r="D24" s="209">
        <v>0</v>
      </c>
      <c r="E24" s="209">
        <v>0</v>
      </c>
      <c r="F24" s="209">
        <v>0</v>
      </c>
      <c r="G24" s="209"/>
    </row>
    <row r="25" spans="1:12" s="173" customFormat="1" ht="15" customHeight="1">
      <c r="A25" s="170" t="s">
        <v>38</v>
      </c>
      <c r="B25" s="198"/>
      <c r="C25" s="12" t="s">
        <v>811</v>
      </c>
      <c r="D25" s="254">
        <f>+D26+D27</f>
        <v>0</v>
      </c>
      <c r="E25" s="254">
        <f t="shared" ref="E25:F25" si="2">+E26+E27</f>
        <v>24012</v>
      </c>
      <c r="F25" s="254">
        <f t="shared" si="2"/>
        <v>24012</v>
      </c>
      <c r="G25" s="254">
        <f>F25/E25*100</f>
        <v>100</v>
      </c>
    </row>
    <row r="26" spans="1:12" s="173" customFormat="1" ht="15" customHeight="1">
      <c r="A26" s="181"/>
      <c r="B26" s="188" t="s">
        <v>39</v>
      </c>
      <c r="C26" s="19" t="s">
        <v>772</v>
      </c>
      <c r="D26" s="255">
        <v>0</v>
      </c>
      <c r="E26" s="255">
        <f>'5.11.1. sz. mell.'!T100</f>
        <v>24012</v>
      </c>
      <c r="F26" s="255">
        <f>'5.11.1. sz. mell.'!U100</f>
        <v>24012</v>
      </c>
      <c r="G26" s="255">
        <f>F26/E26*100</f>
        <v>100</v>
      </c>
    </row>
    <row r="27" spans="1:12" s="173" customFormat="1" ht="15" customHeight="1">
      <c r="A27" s="191"/>
      <c r="B27" s="192" t="s">
        <v>40</v>
      </c>
      <c r="C27" s="24" t="s">
        <v>773</v>
      </c>
      <c r="D27" s="249">
        <v>0</v>
      </c>
      <c r="E27" s="249">
        <v>0</v>
      </c>
      <c r="F27" s="249">
        <v>0</v>
      </c>
      <c r="G27" s="249"/>
      <c r="J27" s="177"/>
      <c r="K27" s="190"/>
      <c r="L27" s="190"/>
    </row>
    <row r="28" spans="1:12" s="177" customFormat="1" ht="15" customHeight="1" thickBot="1">
      <c r="A28" s="201" t="s">
        <v>48</v>
      </c>
      <c r="B28" s="202"/>
      <c r="C28" s="12" t="s">
        <v>812</v>
      </c>
      <c r="D28" s="209">
        <f>SUM('5.11.1. sz. mell.'!S97)</f>
        <v>82049</v>
      </c>
      <c r="E28" s="209">
        <f>SUM('5.11.1. sz. mell.'!T97)+'5.11.1. sz. mell.'!T98</f>
        <v>147905</v>
      </c>
      <c r="F28" s="209">
        <f>SUM('5.11.1. sz. mell.'!U97)+'5.11.1. sz. mell.'!U98</f>
        <v>147905</v>
      </c>
      <c r="G28" s="209">
        <f>F28/E28*100</f>
        <v>100</v>
      </c>
      <c r="K28" s="190"/>
      <c r="L28" s="190"/>
    </row>
    <row r="29" spans="1:12" s="177" customFormat="1" ht="15" customHeight="1" thickBot="1">
      <c r="A29" s="1202"/>
      <c r="B29" s="1203"/>
      <c r="C29" s="1204" t="s">
        <v>1900</v>
      </c>
      <c r="D29" s="1205"/>
      <c r="E29" s="1205">
        <f>SUM('5.11.1. sz. mell.'!J16)</f>
        <v>0</v>
      </c>
      <c r="F29" s="1205">
        <f>SUM('5.11.1. sz. mell.'!K16)</f>
        <v>0</v>
      </c>
      <c r="G29" s="1205"/>
    </row>
    <row r="30" spans="1:12" s="177" customFormat="1" ht="15" customHeight="1" thickBot="1">
      <c r="A30" s="201"/>
      <c r="B30" s="202"/>
      <c r="C30" s="12" t="s">
        <v>813</v>
      </c>
      <c r="D30" s="209"/>
      <c r="E30" s="209"/>
      <c r="F30" s="209">
        <f>'5.11.1. sz. mell.'!U99</f>
        <v>-14223</v>
      </c>
      <c r="G30" s="209"/>
      <c r="J30" s="1278" t="s">
        <v>2052</v>
      </c>
      <c r="K30" s="1278" t="s">
        <v>1811</v>
      </c>
      <c r="L30" s="190"/>
    </row>
    <row r="31" spans="1:12" s="177" customFormat="1" ht="15" customHeight="1">
      <c r="A31" s="256" t="s">
        <v>178</v>
      </c>
      <c r="B31" s="257"/>
      <c r="C31" s="467" t="s">
        <v>814</v>
      </c>
      <c r="D31" s="258">
        <f>SUM(D8,D17,D23,D24,D25,D28)</f>
        <v>543455</v>
      </c>
      <c r="E31" s="258">
        <f>SUM(E8,E17,E23,E24,E25,E28,E29)</f>
        <v>614582</v>
      </c>
      <c r="F31" s="258">
        <f>SUM(F8,F17,F23,F24,F25,F28,F29,F30,F22)</f>
        <v>596565</v>
      </c>
      <c r="G31" s="258">
        <f>F31/E31*100</f>
        <v>97.068413978932028</v>
      </c>
      <c r="J31" s="1223">
        <v>596565</v>
      </c>
      <c r="K31" s="1223">
        <f>SUM(J31-F31)</f>
        <v>0</v>
      </c>
      <c r="L31" s="190"/>
    </row>
    <row r="32" spans="1:12" s="177" customFormat="1" ht="15" customHeight="1">
      <c r="A32" s="449"/>
      <c r="B32" s="449"/>
      <c r="C32" s="468"/>
      <c r="D32" s="501"/>
      <c r="E32" s="501"/>
      <c r="F32" s="501"/>
      <c r="G32" s="501"/>
    </row>
    <row r="33" spans="1:12" s="525" customFormat="1" ht="15" customHeight="1">
      <c r="A33" s="256"/>
      <c r="B33" s="257"/>
      <c r="C33" s="500" t="s">
        <v>197</v>
      </c>
      <c r="D33" s="258"/>
      <c r="E33" s="258"/>
      <c r="F33" s="258"/>
      <c r="G33" s="258"/>
    </row>
    <row r="34" spans="1:12" s="173" customFormat="1" ht="15" customHeight="1">
      <c r="A34" s="170" t="s">
        <v>4</v>
      </c>
      <c r="B34" s="12"/>
      <c r="C34" s="67" t="s">
        <v>101</v>
      </c>
      <c r="D34" s="242">
        <f>SUM(D35:D39)</f>
        <v>543455</v>
      </c>
      <c r="E34" s="242">
        <f t="shared" ref="E34:F34" si="3">SUM(E35:E39)</f>
        <v>603278</v>
      </c>
      <c r="F34" s="242">
        <f t="shared" si="3"/>
        <v>577125</v>
      </c>
      <c r="G34" s="242">
        <f>F34/E34*100</f>
        <v>95.664851030536497</v>
      </c>
    </row>
    <row r="35" spans="1:12" s="177" customFormat="1" ht="15" customHeight="1">
      <c r="A35" s="193"/>
      <c r="B35" s="220" t="s">
        <v>102</v>
      </c>
      <c r="C35" s="27" t="s">
        <v>103</v>
      </c>
      <c r="D35" s="250">
        <f>SUM('5.11.1. sz. mell.'!S104)</f>
        <v>168529</v>
      </c>
      <c r="E35" s="250">
        <f>SUM('5.11.1. sz. mell.'!T104)</f>
        <v>187434</v>
      </c>
      <c r="F35" s="250">
        <f>SUM('5.11.1. sz. mell.'!U104)</f>
        <v>166562</v>
      </c>
      <c r="G35" s="250">
        <f>F35/E35*100</f>
        <v>88.864346916781372</v>
      </c>
    </row>
    <row r="36" spans="1:12" s="177" customFormat="1" ht="15" customHeight="1">
      <c r="A36" s="174"/>
      <c r="B36" s="189" t="s">
        <v>104</v>
      </c>
      <c r="C36" s="15" t="s">
        <v>105</v>
      </c>
      <c r="D36" s="243">
        <f>SUM('5.11.1. sz. mell.'!S105)</f>
        <v>49730</v>
      </c>
      <c r="E36" s="243">
        <f>SUM('5.11.1. sz. mell.'!T105)</f>
        <v>48936</v>
      </c>
      <c r="F36" s="243">
        <f>SUM('5.11.1. sz. mell.'!U105)</f>
        <v>44261</v>
      </c>
      <c r="G36" s="243">
        <f>F36/E36*100</f>
        <v>90.446705901585744</v>
      </c>
    </row>
    <row r="37" spans="1:12" s="177" customFormat="1" ht="15" customHeight="1">
      <c r="A37" s="174"/>
      <c r="B37" s="189" t="s">
        <v>106</v>
      </c>
      <c r="C37" s="15" t="s">
        <v>107</v>
      </c>
      <c r="D37" s="243">
        <f>SUM('5.11.1. sz. mell.'!S106)</f>
        <v>325196</v>
      </c>
      <c r="E37" s="243">
        <f>SUM('5.11.1. sz. mell.'!T106)</f>
        <v>366908</v>
      </c>
      <c r="F37" s="243">
        <f>SUM('5.11.1. sz. mell.'!U106)</f>
        <v>366302</v>
      </c>
      <c r="G37" s="243">
        <f>F37/E37*100</f>
        <v>99.834835980681802</v>
      </c>
    </row>
    <row r="38" spans="1:12" s="177" customFormat="1" ht="15" customHeight="1">
      <c r="A38" s="174"/>
      <c r="B38" s="189" t="s">
        <v>108</v>
      </c>
      <c r="C38" s="15" t="s">
        <v>109</v>
      </c>
      <c r="D38" s="243">
        <v>0</v>
      </c>
      <c r="E38" s="243">
        <v>0</v>
      </c>
      <c r="F38" s="243">
        <v>0</v>
      </c>
      <c r="G38" s="243"/>
    </row>
    <row r="39" spans="1:12" s="177" customFormat="1" ht="15" customHeight="1">
      <c r="A39" s="174"/>
      <c r="B39" s="189" t="s">
        <v>110</v>
      </c>
      <c r="C39" s="15" t="s">
        <v>111</v>
      </c>
      <c r="D39" s="243">
        <v>0</v>
      </c>
      <c r="E39" s="243">
        <v>0</v>
      </c>
      <c r="F39" s="243">
        <v>0</v>
      </c>
      <c r="G39" s="243"/>
    </row>
    <row r="40" spans="1:12" s="177" customFormat="1" ht="15" customHeight="1">
      <c r="A40" s="170" t="s">
        <v>5</v>
      </c>
      <c r="B40" s="12"/>
      <c r="C40" s="67" t="s">
        <v>787</v>
      </c>
      <c r="D40" s="242">
        <f>SUM(D41:D44)</f>
        <v>0</v>
      </c>
      <c r="E40" s="242">
        <f t="shared" ref="E40:F40" si="4">SUM(E41:E44)</f>
        <v>11304</v>
      </c>
      <c r="F40" s="242">
        <f t="shared" si="4"/>
        <v>11304</v>
      </c>
      <c r="G40" s="242">
        <f>F40/E40*100</f>
        <v>100</v>
      </c>
    </row>
    <row r="41" spans="1:12" s="173" customFormat="1" ht="15" customHeight="1">
      <c r="A41" s="193"/>
      <c r="B41" s="220" t="s">
        <v>6</v>
      </c>
      <c r="C41" s="27" t="s">
        <v>780</v>
      </c>
      <c r="D41" s="250">
        <v>0</v>
      </c>
      <c r="E41" s="250">
        <f>'5.11.1. sz. mell.'!T108</f>
        <v>10693</v>
      </c>
      <c r="F41" s="250">
        <f>'5.11.1. sz. mell.'!U108</f>
        <v>10693</v>
      </c>
      <c r="G41" s="250">
        <f>F41/E41*100</f>
        <v>100</v>
      </c>
    </row>
    <row r="42" spans="1:12" s="177" customFormat="1" ht="15" customHeight="1">
      <c r="A42" s="174"/>
      <c r="B42" s="189" t="s">
        <v>8</v>
      </c>
      <c r="C42" s="15" t="s">
        <v>134</v>
      </c>
      <c r="D42" s="243">
        <v>0</v>
      </c>
      <c r="E42" s="243">
        <f>'5.11.1. sz. mell.'!T107</f>
        <v>611</v>
      </c>
      <c r="F42" s="243">
        <f>'5.11.1. sz. mell.'!U107</f>
        <v>611</v>
      </c>
      <c r="G42" s="243">
        <f>F42/E42*100</f>
        <v>100</v>
      </c>
    </row>
    <row r="43" spans="1:12" s="177" customFormat="1" ht="29.25" customHeight="1">
      <c r="A43" s="174"/>
      <c r="B43" s="189" t="s">
        <v>14</v>
      </c>
      <c r="C43" s="15" t="s">
        <v>137</v>
      </c>
      <c r="D43" s="243">
        <v>0</v>
      </c>
      <c r="E43" s="243">
        <v>0</v>
      </c>
      <c r="F43" s="243">
        <v>0</v>
      </c>
      <c r="G43" s="243"/>
    </row>
    <row r="44" spans="1:12" s="177" customFormat="1" ht="15" customHeight="1">
      <c r="A44" s="174"/>
      <c r="B44" s="189" t="s">
        <v>18</v>
      </c>
      <c r="C44" s="15" t="s">
        <v>781</v>
      </c>
      <c r="D44" s="243">
        <v>0</v>
      </c>
      <c r="E44" s="243">
        <v>0</v>
      </c>
      <c r="F44" s="243">
        <v>0</v>
      </c>
      <c r="G44" s="243"/>
    </row>
    <row r="45" spans="1:12" s="177" customFormat="1" ht="15" customHeight="1">
      <c r="A45" s="170" t="s">
        <v>19</v>
      </c>
      <c r="B45" s="12"/>
      <c r="C45" s="67" t="s">
        <v>782</v>
      </c>
      <c r="D45" s="209">
        <v>0</v>
      </c>
      <c r="E45" s="209">
        <v>0</v>
      </c>
      <c r="F45" s="209">
        <v>0</v>
      </c>
      <c r="G45" s="209"/>
    </row>
    <row r="46" spans="1:12" s="177" customFormat="1" ht="15" customHeight="1">
      <c r="A46" s="170"/>
      <c r="B46" s="12"/>
      <c r="C46" s="67" t="s">
        <v>783</v>
      </c>
      <c r="D46" s="209"/>
      <c r="E46" s="209"/>
      <c r="F46" s="209">
        <f>'5.11.1. sz. mell.'!U109</f>
        <v>18602</v>
      </c>
      <c r="G46" s="209"/>
      <c r="J46" s="1278" t="s">
        <v>2052</v>
      </c>
      <c r="K46" s="1278" t="s">
        <v>1811</v>
      </c>
    </row>
    <row r="47" spans="1:12" s="177" customFormat="1" ht="15" customHeight="1">
      <c r="A47" s="256" t="s">
        <v>149</v>
      </c>
      <c r="B47" s="257"/>
      <c r="C47" s="467" t="s">
        <v>784</v>
      </c>
      <c r="D47" s="258">
        <f>+D34+D40+D45</f>
        <v>543455</v>
      </c>
      <c r="E47" s="258">
        <f t="shared" ref="E47" si="5">+E34+E40+E45</f>
        <v>614582</v>
      </c>
      <c r="F47" s="258">
        <f>+F34+F40+F45+F46</f>
        <v>607031</v>
      </c>
      <c r="G47" s="258">
        <f>F47/E47*100</f>
        <v>98.771360046340433</v>
      </c>
      <c r="J47" s="1223">
        <v>607031</v>
      </c>
      <c r="K47" s="1223">
        <f>SUM(J47-F47)</f>
        <v>0</v>
      </c>
      <c r="L47" s="190"/>
    </row>
    <row r="48" spans="1:12" s="177" customFormat="1" ht="15" customHeight="1">
      <c r="A48" s="230"/>
      <c r="B48" s="231"/>
      <c r="C48" s="231"/>
      <c r="D48" s="231"/>
      <c r="E48" s="231"/>
      <c r="F48" s="231"/>
      <c r="G48" s="231"/>
    </row>
    <row r="49" spans="1:7" s="177" customFormat="1" ht="15" customHeight="1">
      <c r="A49" s="232" t="s">
        <v>289</v>
      </c>
      <c r="B49" s="233"/>
      <c r="C49" s="234"/>
      <c r="D49" s="235">
        <f>SUM('5.11.1. sz. mell.'!I167)</f>
        <v>73</v>
      </c>
      <c r="E49" s="235">
        <f>SUM('5.11.1. sz. mell.'!J167)</f>
        <v>73</v>
      </c>
      <c r="F49" s="235">
        <f>SUM('5.11.1. sz. mell.'!K167)</f>
        <v>73</v>
      </c>
      <c r="G49" s="235"/>
    </row>
    <row r="50" spans="1:7" s="177" customFormat="1" ht="15" customHeight="1">
      <c r="A50" s="232" t="s">
        <v>290</v>
      </c>
      <c r="B50" s="233"/>
      <c r="C50" s="234"/>
      <c r="D50" s="469"/>
      <c r="E50" s="469"/>
      <c r="F50" s="469"/>
      <c r="G50" s="469"/>
    </row>
  </sheetData>
  <sheetProtection selectLockedCells="1" selectUnlockedCells="1"/>
  <mergeCells count="6">
    <mergeCell ref="D1:G1"/>
    <mergeCell ref="A2:B2"/>
    <mergeCell ref="A3:B3"/>
    <mergeCell ref="A5:B5"/>
    <mergeCell ref="D2:D3"/>
    <mergeCell ref="D4:G4"/>
  </mergeCells>
  <printOptions horizontalCentered="1"/>
  <pageMargins left="0.19685039370078741" right="0.23622047244094491" top="0.35433070866141736" bottom="0.39370078740157483" header="0.19685039370078741" footer="0.15748031496062992"/>
  <pageSetup paperSize="9" scale="85" firstPageNumber="98" orientation="portrait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3"/>
  <sheetViews>
    <sheetView view="pageBreakPreview" topLeftCell="A10" zoomScaleSheetLayoutView="100" workbookViewId="0">
      <selection activeCell="M19" sqref="M19"/>
    </sheetView>
  </sheetViews>
  <sheetFormatPr defaultRowHeight="14.25"/>
  <cols>
    <col min="1" max="1" width="2.5" style="274" customWidth="1"/>
    <col min="2" max="2" width="3" style="274" customWidth="1"/>
    <col min="3" max="3" width="6.83203125" style="527" customWidth="1"/>
    <col min="4" max="4" width="51.83203125" style="274" customWidth="1"/>
    <col min="5" max="8" width="9.33203125" style="322" hidden="1" customWidth="1"/>
    <col min="9" max="10" width="14" style="322" customWidth="1"/>
    <col min="11" max="12" width="12.83203125" style="322" customWidth="1"/>
    <col min="13" max="13" width="43.83203125" style="274" customWidth="1"/>
    <col min="14" max="18" width="9.33203125" style="274" hidden="1" customWidth="1"/>
    <col min="19" max="19" width="13" style="274" customWidth="1"/>
    <col min="20" max="20" width="12.33203125" style="274" customWidth="1"/>
    <col min="21" max="21" width="14.33203125" style="274" customWidth="1"/>
    <col min="22" max="24" width="9.33203125" style="274"/>
    <col min="25" max="25" width="9.33203125" style="570"/>
    <col min="26" max="16384" width="9.33203125" style="274"/>
  </cols>
  <sheetData>
    <row r="1" spans="1:25" ht="43.5" customHeight="1" thickBot="1">
      <c r="A1" s="1924" t="s">
        <v>318</v>
      </c>
      <c r="B1" s="1924"/>
      <c r="C1" s="1924"/>
      <c r="D1" s="276" t="s">
        <v>922</v>
      </c>
      <c r="E1" s="556" t="s">
        <v>923</v>
      </c>
      <c r="F1" s="556" t="s">
        <v>924</v>
      </c>
      <c r="G1" s="556" t="s">
        <v>925</v>
      </c>
      <c r="H1" s="556" t="s">
        <v>926</v>
      </c>
      <c r="I1" s="556" t="s">
        <v>1257</v>
      </c>
      <c r="J1" s="556" t="s">
        <v>1921</v>
      </c>
      <c r="K1" s="556" t="s">
        <v>1924</v>
      </c>
      <c r="L1" s="556" t="s">
        <v>2</v>
      </c>
    </row>
    <row r="2" spans="1:25" ht="18" customHeight="1" thickTop="1" thickBot="1">
      <c r="A2" s="529" t="s">
        <v>927</v>
      </c>
      <c r="B2" s="530"/>
      <c r="C2" s="531"/>
      <c r="D2" s="1958" t="s">
        <v>920</v>
      </c>
      <c r="E2" s="1958"/>
      <c r="F2" s="1958"/>
      <c r="G2" s="1958"/>
      <c r="H2" s="1958"/>
      <c r="I2" s="532"/>
      <c r="J2" s="532"/>
      <c r="K2" s="532"/>
      <c r="L2" s="1020"/>
    </row>
    <row r="3" spans="1:25" ht="18" thickTop="1">
      <c r="A3" s="534"/>
      <c r="B3" s="535"/>
      <c r="C3" s="279"/>
      <c r="D3" s="571" t="s">
        <v>928</v>
      </c>
      <c r="E3" s="571"/>
      <c r="F3" s="571"/>
      <c r="G3" s="571"/>
      <c r="H3" s="571"/>
      <c r="I3" s="572"/>
      <c r="J3" s="572"/>
      <c r="K3" s="572"/>
      <c r="L3" s="572"/>
    </row>
    <row r="4" spans="1:25" ht="16.5" customHeight="1">
      <c r="A4" s="284"/>
      <c r="B4" s="535" t="s">
        <v>4</v>
      </c>
      <c r="C4" s="350"/>
      <c r="D4" s="1959" t="s">
        <v>196</v>
      </c>
      <c r="E4" s="1959"/>
      <c r="F4" s="1959"/>
      <c r="G4" s="1959"/>
      <c r="H4" s="1959"/>
      <c r="I4" s="298"/>
      <c r="J4" s="298"/>
      <c r="K4" s="298"/>
      <c r="L4" s="298"/>
    </row>
    <row r="5" spans="1:25" ht="16.5">
      <c r="A5" s="284"/>
      <c r="B5" s="540"/>
      <c r="C5" s="279" t="s">
        <v>102</v>
      </c>
      <c r="D5" s="297" t="s">
        <v>850</v>
      </c>
      <c r="E5" s="298">
        <f>SUM(E6:E9)</f>
        <v>8168</v>
      </c>
      <c r="F5" s="298">
        <f>SUM(F6:F9)</f>
        <v>20513</v>
      </c>
      <c r="G5" s="298">
        <f>SUM(G6:G9)</f>
        <v>9179</v>
      </c>
      <c r="H5" s="298">
        <f>SUM(H6:H9)</f>
        <v>6881</v>
      </c>
      <c r="I5" s="298">
        <f>SUM(I6:I8)</f>
        <v>7790</v>
      </c>
      <c r="J5" s="298">
        <f t="shared" ref="J5" si="0">SUM(J6:J8)</f>
        <v>8885</v>
      </c>
      <c r="K5" s="298">
        <f>SUM(K6:K8)</f>
        <v>9788</v>
      </c>
      <c r="L5" s="298">
        <f>K5/J5*100</f>
        <v>110.16319639842432</v>
      </c>
    </row>
    <row r="6" spans="1:25" ht="16.5">
      <c r="A6" s="284"/>
      <c r="B6" s="540"/>
      <c r="C6" s="350" t="s">
        <v>184</v>
      </c>
      <c r="D6" s="297" t="s">
        <v>929</v>
      </c>
      <c r="E6" s="298">
        <v>1000</v>
      </c>
      <c r="F6" s="298">
        <v>13632</v>
      </c>
      <c r="G6" s="298">
        <v>239</v>
      </c>
      <c r="H6" s="298">
        <v>0</v>
      </c>
      <c r="I6" s="298"/>
      <c r="J6" s="298"/>
      <c r="K6" s="298"/>
      <c r="L6" s="298" t="e">
        <f t="shared" ref="L6:L68" si="1">K6/J6*100</f>
        <v>#DIV/0!</v>
      </c>
    </row>
    <row r="7" spans="1:25" ht="16.5">
      <c r="A7" s="284"/>
      <c r="B7" s="540"/>
      <c r="C7" s="350" t="s">
        <v>186</v>
      </c>
      <c r="D7" s="297" t="s">
        <v>26</v>
      </c>
      <c r="E7" s="298">
        <v>5734</v>
      </c>
      <c r="F7" s="298">
        <v>5734</v>
      </c>
      <c r="G7" s="298">
        <v>6234</v>
      </c>
      <c r="H7" s="298">
        <v>5734</v>
      </c>
      <c r="I7" s="298"/>
      <c r="J7" s="298"/>
      <c r="K7" s="298"/>
      <c r="L7" s="298"/>
    </row>
    <row r="8" spans="1:25" ht="16.5">
      <c r="A8" s="284"/>
      <c r="B8" s="540"/>
      <c r="C8" s="350" t="s">
        <v>340</v>
      </c>
      <c r="D8" s="297" t="s">
        <v>1274</v>
      </c>
      <c r="E8" s="298"/>
      <c r="F8" s="298"/>
      <c r="G8" s="298">
        <v>1232</v>
      </c>
      <c r="H8" s="298">
        <v>0</v>
      </c>
      <c r="I8" s="298">
        <v>7790</v>
      </c>
      <c r="J8" s="298">
        <v>8885</v>
      </c>
      <c r="K8" s="298">
        <v>9788</v>
      </c>
      <c r="L8" s="298">
        <f t="shared" si="1"/>
        <v>110.16319639842432</v>
      </c>
    </row>
    <row r="9" spans="1:25" ht="16.5">
      <c r="A9" s="284"/>
      <c r="B9" s="540"/>
      <c r="D9" s="297" t="s">
        <v>930</v>
      </c>
      <c r="E9" s="298">
        <v>1434</v>
      </c>
      <c r="F9" s="298">
        <v>1147</v>
      </c>
      <c r="G9" s="298">
        <v>1474</v>
      </c>
      <c r="H9" s="298">
        <v>1147</v>
      </c>
      <c r="I9" s="298"/>
      <c r="J9" s="298"/>
      <c r="K9" s="298">
        <v>80</v>
      </c>
      <c r="L9" s="298"/>
    </row>
    <row r="10" spans="1:25" ht="15" customHeight="1">
      <c r="A10" s="284"/>
      <c r="B10" s="540"/>
      <c r="C10" s="279" t="s">
        <v>104</v>
      </c>
      <c r="D10" s="297" t="s">
        <v>851</v>
      </c>
      <c r="E10" s="298">
        <v>0</v>
      </c>
      <c r="F10" s="298">
        <v>0</v>
      </c>
      <c r="G10" s="298"/>
      <c r="H10" s="298"/>
      <c r="I10" s="298"/>
      <c r="J10" s="298"/>
      <c r="K10" s="298">
        <v>400</v>
      </c>
      <c r="L10" s="298"/>
    </row>
    <row r="11" spans="1:25" ht="16.5">
      <c r="A11" s="284"/>
      <c r="B11" s="540"/>
      <c r="C11" s="279" t="s">
        <v>106</v>
      </c>
      <c r="D11" s="297" t="s">
        <v>852</v>
      </c>
      <c r="E11" s="298">
        <f t="shared" ref="E11:I11" si="2">SUM(E12+E15)</f>
        <v>316171</v>
      </c>
      <c r="F11" s="298">
        <f t="shared" si="2"/>
        <v>228060</v>
      </c>
      <c r="G11" s="298">
        <f t="shared" si="2"/>
        <v>330704</v>
      </c>
      <c r="H11" s="298">
        <f t="shared" si="2"/>
        <v>258000</v>
      </c>
      <c r="I11" s="298">
        <f t="shared" si="2"/>
        <v>314568</v>
      </c>
      <c r="J11" s="298">
        <f>SUM(J12+J15)+J16</f>
        <v>350215</v>
      </c>
      <c r="K11" s="298">
        <f>SUM(K12+K15)+K16</f>
        <v>345038</v>
      </c>
      <c r="L11" s="298">
        <f t="shared" si="1"/>
        <v>98.521765201376297</v>
      </c>
    </row>
    <row r="12" spans="1:25" s="295" customFormat="1" ht="16.5">
      <c r="A12" s="541"/>
      <c r="B12" s="542"/>
      <c r="C12" s="304" t="s">
        <v>389</v>
      </c>
      <c r="D12" s="301" t="s">
        <v>853</v>
      </c>
      <c r="E12" s="302">
        <f t="shared" ref="E12:I12" si="3">SUM(E13:E14)</f>
        <v>212736</v>
      </c>
      <c r="F12" s="302">
        <f t="shared" si="3"/>
        <v>228060</v>
      </c>
      <c r="G12" s="302">
        <f t="shared" si="3"/>
        <v>306934</v>
      </c>
      <c r="H12" s="302">
        <f t="shared" si="3"/>
        <v>258000</v>
      </c>
      <c r="I12" s="302">
        <f t="shared" si="3"/>
        <v>314568</v>
      </c>
      <c r="J12" s="302">
        <f>SUM(J13:J14)</f>
        <v>347347</v>
      </c>
      <c r="K12" s="302">
        <f>SUM(K13:K14)</f>
        <v>342170</v>
      </c>
      <c r="L12" s="302">
        <f t="shared" si="1"/>
        <v>98.509559604660467</v>
      </c>
      <c r="Y12" s="553"/>
    </row>
    <row r="13" spans="1:25" ht="16.5">
      <c r="A13" s="284"/>
      <c r="B13" s="540"/>
      <c r="C13" s="350" t="s">
        <v>854</v>
      </c>
      <c r="D13" s="297" t="s">
        <v>931</v>
      </c>
      <c r="E13" s="298">
        <v>212736</v>
      </c>
      <c r="F13" s="298">
        <v>228060</v>
      </c>
      <c r="G13" s="298">
        <v>298911</v>
      </c>
      <c r="H13" s="298">
        <v>258000</v>
      </c>
      <c r="I13" s="298">
        <v>314568</v>
      </c>
      <c r="J13" s="298">
        <v>301529</v>
      </c>
      <c r="K13" s="298">
        <v>296352</v>
      </c>
      <c r="L13" s="298">
        <f t="shared" si="1"/>
        <v>98.283083882478962</v>
      </c>
      <c r="S13" s="322">
        <f>SUM(J13:J14)</f>
        <v>347347</v>
      </c>
    </row>
    <row r="14" spans="1:25" ht="16.5">
      <c r="A14" s="284"/>
      <c r="B14" s="540"/>
      <c r="C14" s="350" t="s">
        <v>864</v>
      </c>
      <c r="D14" s="297" t="s">
        <v>932</v>
      </c>
      <c r="E14" s="298"/>
      <c r="F14" s="298"/>
      <c r="G14" s="298">
        <v>8023</v>
      </c>
      <c r="H14" s="298">
        <v>0</v>
      </c>
      <c r="I14" s="298"/>
      <c r="J14" s="298">
        <v>45818</v>
      </c>
      <c r="K14" s="298">
        <v>45818</v>
      </c>
      <c r="L14" s="298">
        <f t="shared" si="1"/>
        <v>100</v>
      </c>
    </row>
    <row r="15" spans="1:25" ht="16.5">
      <c r="A15" s="284"/>
      <c r="B15" s="540"/>
      <c r="C15" s="350" t="s">
        <v>390</v>
      </c>
      <c r="D15" s="297" t="s">
        <v>933</v>
      </c>
      <c r="E15" s="298">
        <v>103435</v>
      </c>
      <c r="F15" s="298"/>
      <c r="G15" s="298">
        <v>23770</v>
      </c>
      <c r="H15" s="298">
        <v>0</v>
      </c>
      <c r="I15" s="298"/>
      <c r="J15" s="298">
        <v>2868</v>
      </c>
      <c r="K15" s="298">
        <v>2868</v>
      </c>
      <c r="L15" s="298">
        <f t="shared" si="1"/>
        <v>100</v>
      </c>
    </row>
    <row r="16" spans="1:25" ht="16.5">
      <c r="A16" s="1206"/>
      <c r="B16" s="1207"/>
      <c r="C16" s="350" t="s">
        <v>1901</v>
      </c>
      <c r="D16" s="297" t="s">
        <v>1902</v>
      </c>
      <c r="E16" s="1208"/>
      <c r="F16" s="1208"/>
      <c r="G16" s="1208"/>
      <c r="H16" s="1208"/>
      <c r="I16" s="1208"/>
      <c r="J16" s="298"/>
      <c r="K16" s="298"/>
      <c r="L16" s="1208" t="e">
        <f t="shared" si="1"/>
        <v>#DIV/0!</v>
      </c>
    </row>
    <row r="17" spans="1:15" ht="16.5">
      <c r="A17" s="284"/>
      <c r="B17" s="540"/>
      <c r="C17" s="279" t="s">
        <v>108</v>
      </c>
      <c r="D17" s="297" t="s">
        <v>934</v>
      </c>
      <c r="E17" s="298"/>
      <c r="F17" s="298"/>
      <c r="G17" s="298"/>
      <c r="H17" s="298"/>
      <c r="I17" s="298"/>
      <c r="J17" s="298"/>
      <c r="K17" s="355">
        <v>-14223</v>
      </c>
      <c r="L17" s="298"/>
    </row>
    <row r="18" spans="1:15" s="289" customFormat="1" ht="16.5">
      <c r="A18" s="284"/>
      <c r="B18" s="285"/>
      <c r="C18" s="286" t="s">
        <v>432</v>
      </c>
      <c r="D18" s="297" t="s">
        <v>438</v>
      </c>
      <c r="E18" s="288"/>
      <c r="F18" s="288"/>
      <c r="G18" s="288"/>
      <c r="H18" s="288"/>
      <c r="I18" s="298"/>
      <c r="J18" s="298">
        <v>24012</v>
      </c>
      <c r="K18" s="298">
        <v>24012</v>
      </c>
      <c r="L18" s="298">
        <f t="shared" si="1"/>
        <v>100</v>
      </c>
    </row>
    <row r="19" spans="1:15" ht="16.5">
      <c r="A19" s="284"/>
      <c r="B19" s="540"/>
      <c r="C19" s="286" t="s">
        <v>434</v>
      </c>
      <c r="D19" s="297" t="s">
        <v>1255</v>
      </c>
      <c r="E19" s="298">
        <v>1434</v>
      </c>
      <c r="F19" s="298">
        <v>1147</v>
      </c>
      <c r="G19" s="298">
        <v>1474</v>
      </c>
      <c r="H19" s="298">
        <v>1147</v>
      </c>
      <c r="I19" s="298"/>
      <c r="J19" s="298"/>
      <c r="K19" s="355"/>
      <c r="L19" s="298"/>
    </row>
    <row r="20" spans="1:15" ht="16.5">
      <c r="A20" s="284"/>
      <c r="B20" s="540"/>
      <c r="C20" s="350"/>
      <c r="D20" s="545" t="s">
        <v>873</v>
      </c>
      <c r="E20" s="546">
        <f>SUM(E5+E11+E10)</f>
        <v>324339</v>
      </c>
      <c r="F20" s="546">
        <f>SUM(F5+F11+F10)</f>
        <v>248573</v>
      </c>
      <c r="G20" s="546">
        <f>SUM(G5+G11+G10)</f>
        <v>339883</v>
      </c>
      <c r="H20" s="546">
        <f>SUM(H5+H11+H10)</f>
        <v>264881</v>
      </c>
      <c r="I20" s="546">
        <f t="shared" ref="I20:J20" si="4">SUM(I5+I11+I10+I18+I17+I9)+I19</f>
        <v>322358</v>
      </c>
      <c r="J20" s="546">
        <f t="shared" si="4"/>
        <v>383112</v>
      </c>
      <c r="K20" s="546">
        <f>SUM(K5+K11+K10+K18+K17+K9)+K19</f>
        <v>365095</v>
      </c>
      <c r="L20" s="546">
        <f t="shared" si="1"/>
        <v>95.297197686316267</v>
      </c>
    </row>
    <row r="21" spans="1:15" ht="16.5" customHeight="1">
      <c r="A21" s="284"/>
      <c r="B21" s="535" t="s">
        <v>5</v>
      </c>
      <c r="C21" s="351"/>
      <c r="D21" s="1959" t="s">
        <v>197</v>
      </c>
      <c r="E21" s="1959"/>
      <c r="F21" s="1959"/>
      <c r="G21" s="1959"/>
      <c r="H21" s="1959"/>
      <c r="I21" s="298"/>
      <c r="J21" s="298"/>
      <c r="K21" s="298"/>
      <c r="L21" s="298"/>
    </row>
    <row r="22" spans="1:15" ht="16.5">
      <c r="A22" s="284"/>
      <c r="B22" s="540"/>
      <c r="C22" s="351" t="s">
        <v>6</v>
      </c>
      <c r="D22" s="297" t="s">
        <v>508</v>
      </c>
      <c r="E22" s="298">
        <v>79920</v>
      </c>
      <c r="F22" s="298">
        <v>96893</v>
      </c>
      <c r="G22" s="298">
        <v>106622</v>
      </c>
      <c r="H22" s="298">
        <v>102125</v>
      </c>
      <c r="I22" s="298">
        <v>101451</v>
      </c>
      <c r="J22" s="298">
        <v>129970</v>
      </c>
      <c r="K22" s="298">
        <v>109103</v>
      </c>
      <c r="L22" s="298">
        <f t="shared" si="1"/>
        <v>83.944756482265134</v>
      </c>
    </row>
    <row r="23" spans="1:15" ht="16.5">
      <c r="A23" s="284"/>
      <c r="B23" s="540"/>
      <c r="C23" s="351" t="s">
        <v>8</v>
      </c>
      <c r="D23" s="297" t="s">
        <v>509</v>
      </c>
      <c r="E23" s="298">
        <v>25137</v>
      </c>
      <c r="F23" s="298">
        <v>29779</v>
      </c>
      <c r="G23" s="298">
        <v>30303</v>
      </c>
      <c r="H23" s="298">
        <v>31407</v>
      </c>
      <c r="I23" s="298">
        <v>31516</v>
      </c>
      <c r="J23" s="298">
        <v>34251</v>
      </c>
      <c r="K23" s="298">
        <v>29595</v>
      </c>
      <c r="L23" s="298">
        <f t="shared" si="1"/>
        <v>86.406236314268199</v>
      </c>
    </row>
    <row r="24" spans="1:15" ht="16.5">
      <c r="A24" s="284"/>
      <c r="B24" s="540"/>
      <c r="C24" s="351" t="s">
        <v>10</v>
      </c>
      <c r="D24" s="297" t="s">
        <v>201</v>
      </c>
      <c r="E24" s="298">
        <v>115847</v>
      </c>
      <c r="F24" s="298">
        <v>121901</v>
      </c>
      <c r="G24" s="298">
        <v>179188</v>
      </c>
      <c r="H24" s="298">
        <v>131349</v>
      </c>
      <c r="I24" s="298">
        <v>189391</v>
      </c>
      <c r="J24" s="298">
        <v>212511</v>
      </c>
      <c r="K24" s="298">
        <v>211881</v>
      </c>
      <c r="L24" s="298">
        <f t="shared" si="1"/>
        <v>99.703544757683133</v>
      </c>
      <c r="O24" s="322" t="e">
        <f>SUM(#REF!-#REF!)</f>
        <v>#REF!</v>
      </c>
    </row>
    <row r="25" spans="1:15" ht="16.5">
      <c r="A25" s="284"/>
      <c r="B25" s="540"/>
      <c r="C25" s="351" t="s">
        <v>12</v>
      </c>
      <c r="D25" s="297" t="s">
        <v>881</v>
      </c>
      <c r="E25" s="298"/>
      <c r="F25" s="298"/>
      <c r="G25" s="298">
        <v>4664</v>
      </c>
      <c r="H25" s="298">
        <v>0</v>
      </c>
      <c r="I25" s="298"/>
      <c r="J25" s="298">
        <v>611</v>
      </c>
      <c r="K25" s="298">
        <v>611</v>
      </c>
      <c r="L25" s="298"/>
    </row>
    <row r="26" spans="1:15" ht="16.5">
      <c r="A26" s="284"/>
      <c r="B26" s="540"/>
      <c r="C26" s="351" t="s">
        <v>14</v>
      </c>
      <c r="D26" s="297" t="s">
        <v>882</v>
      </c>
      <c r="E26" s="298">
        <v>103435</v>
      </c>
      <c r="F26" s="298"/>
      <c r="G26" s="298">
        <v>19106</v>
      </c>
      <c r="H26" s="298">
        <v>0</v>
      </c>
      <c r="I26" s="298"/>
      <c r="J26" s="298">
        <v>5769</v>
      </c>
      <c r="K26" s="298">
        <v>5769</v>
      </c>
      <c r="L26" s="298">
        <f t="shared" si="1"/>
        <v>100</v>
      </c>
    </row>
    <row r="27" spans="1:15" ht="16.5">
      <c r="A27" s="284"/>
      <c r="B27" s="540"/>
      <c r="C27" s="351" t="s">
        <v>308</v>
      </c>
      <c r="D27" s="297" t="s">
        <v>935</v>
      </c>
      <c r="E27" s="298"/>
      <c r="F27" s="298"/>
      <c r="G27" s="298"/>
      <c r="H27" s="298"/>
      <c r="I27" s="298"/>
      <c r="J27" s="298"/>
      <c r="K27" s="298">
        <v>18602</v>
      </c>
      <c r="L27" s="298"/>
    </row>
    <row r="28" spans="1:15" ht="16.5">
      <c r="A28" s="284"/>
      <c r="B28" s="540"/>
      <c r="C28" s="351"/>
      <c r="D28" s="547" t="s">
        <v>884</v>
      </c>
      <c r="E28" s="546">
        <f t="shared" ref="E28:I28" si="5">SUM(E22:E27)</f>
        <v>324339</v>
      </c>
      <c r="F28" s="546">
        <f t="shared" si="5"/>
        <v>248573</v>
      </c>
      <c r="G28" s="546">
        <f t="shared" si="5"/>
        <v>339883</v>
      </c>
      <c r="H28" s="546">
        <f t="shared" si="5"/>
        <v>264881</v>
      </c>
      <c r="I28" s="546">
        <f t="shared" si="5"/>
        <v>322358</v>
      </c>
      <c r="J28" s="546">
        <f t="shared" ref="J28:K28" si="6">SUM(J22:J27)</f>
        <v>383112</v>
      </c>
      <c r="K28" s="546">
        <f t="shared" si="6"/>
        <v>375561</v>
      </c>
      <c r="L28" s="546">
        <f t="shared" si="1"/>
        <v>98.029035895508372</v>
      </c>
    </row>
    <row r="29" spans="1:15" ht="16.5">
      <c r="A29" s="284"/>
      <c r="B29" s="535" t="s">
        <v>19</v>
      </c>
      <c r="C29" s="280"/>
      <c r="D29" s="548" t="s">
        <v>885</v>
      </c>
      <c r="E29" s="573">
        <v>53.5</v>
      </c>
      <c r="F29" s="415">
        <v>58</v>
      </c>
      <c r="G29" s="415">
        <v>58</v>
      </c>
      <c r="H29" s="415">
        <v>58</v>
      </c>
      <c r="I29" s="415">
        <v>62</v>
      </c>
      <c r="J29" s="415">
        <v>62</v>
      </c>
      <c r="K29" s="415">
        <v>62</v>
      </c>
      <c r="L29" s="415"/>
    </row>
    <row r="30" spans="1:15" ht="17.25">
      <c r="A30" s="534"/>
      <c r="B30" s="535"/>
      <c r="C30" s="279"/>
      <c r="D30" s="574" t="s">
        <v>936</v>
      </c>
      <c r="E30" s="575"/>
      <c r="F30" s="575"/>
      <c r="G30" s="575"/>
      <c r="H30" s="575"/>
      <c r="I30" s="576"/>
      <c r="J30" s="576"/>
      <c r="K30" s="576"/>
      <c r="L30" s="576"/>
    </row>
    <row r="31" spans="1:15" ht="16.5" customHeight="1">
      <c r="A31" s="284"/>
      <c r="B31" s="535" t="s">
        <v>4</v>
      </c>
      <c r="C31" s="350"/>
      <c r="D31" s="1959" t="s">
        <v>196</v>
      </c>
      <c r="E31" s="1959"/>
      <c r="F31" s="1959"/>
      <c r="G31" s="1959"/>
      <c r="H31" s="1959"/>
      <c r="I31" s="298"/>
      <c r="J31" s="298"/>
      <c r="K31" s="298"/>
      <c r="L31" s="298"/>
    </row>
    <row r="32" spans="1:15" ht="16.5">
      <c r="A32" s="284"/>
      <c r="B32" s="540"/>
      <c r="C32" s="279" t="s">
        <v>102</v>
      </c>
      <c r="D32" s="297" t="s">
        <v>850</v>
      </c>
      <c r="E32" s="298"/>
      <c r="F32" s="298"/>
      <c r="G32" s="298">
        <v>0</v>
      </c>
      <c r="H32" s="298">
        <v>0</v>
      </c>
      <c r="I32" s="298"/>
      <c r="J32" s="298"/>
      <c r="K32" s="298"/>
      <c r="L32" s="298"/>
    </row>
    <row r="33" spans="1:25" ht="15" customHeight="1">
      <c r="A33" s="284"/>
      <c r="B33" s="540"/>
      <c r="C33" s="279" t="s">
        <v>104</v>
      </c>
      <c r="D33" s="297" t="s">
        <v>851</v>
      </c>
      <c r="E33" s="298">
        <v>0</v>
      </c>
      <c r="F33" s="298">
        <v>0</v>
      </c>
      <c r="G33" s="298">
        <v>0</v>
      </c>
      <c r="H33" s="298"/>
      <c r="I33" s="298"/>
      <c r="J33" s="298"/>
      <c r="K33" s="298"/>
      <c r="L33" s="298"/>
    </row>
    <row r="34" spans="1:25" ht="16.5">
      <c r="A34" s="284"/>
      <c r="B34" s="540"/>
      <c r="C34" s="279" t="s">
        <v>106</v>
      </c>
      <c r="D34" s="297" t="s">
        <v>852</v>
      </c>
      <c r="E34" s="298">
        <f t="shared" ref="E34:I34" si="7">SUM(E35+E38)</f>
        <v>26828</v>
      </c>
      <c r="F34" s="298">
        <f t="shared" si="7"/>
        <v>27295</v>
      </c>
      <c r="G34" s="298">
        <f t="shared" si="7"/>
        <v>27490</v>
      </c>
      <c r="H34" s="298">
        <f t="shared" si="7"/>
        <v>39865</v>
      </c>
      <c r="I34" s="298">
        <f t="shared" si="7"/>
        <v>45192</v>
      </c>
      <c r="J34" s="298">
        <f t="shared" ref="J34:K34" si="8">SUM(J35+J38)</f>
        <v>37317</v>
      </c>
      <c r="K34" s="298">
        <f t="shared" si="8"/>
        <v>37317</v>
      </c>
      <c r="L34" s="298">
        <f t="shared" si="1"/>
        <v>100</v>
      </c>
    </row>
    <row r="35" spans="1:25" s="295" customFormat="1" ht="16.5">
      <c r="A35" s="541"/>
      <c r="B35" s="542"/>
      <c r="C35" s="304" t="s">
        <v>389</v>
      </c>
      <c r="D35" s="301" t="s">
        <v>853</v>
      </c>
      <c r="E35" s="302">
        <f t="shared" ref="E35:I35" si="9">SUM(E36:E37)</f>
        <v>26828</v>
      </c>
      <c r="F35" s="302">
        <f t="shared" si="9"/>
        <v>27295</v>
      </c>
      <c r="G35" s="302">
        <f t="shared" si="9"/>
        <v>27490</v>
      </c>
      <c r="H35" s="302">
        <f t="shared" si="9"/>
        <v>39865</v>
      </c>
      <c r="I35" s="302">
        <f t="shared" si="9"/>
        <v>45192</v>
      </c>
      <c r="J35" s="302">
        <f t="shared" ref="J35:K35" si="10">SUM(J36:J37)</f>
        <v>37210</v>
      </c>
      <c r="K35" s="302">
        <f t="shared" si="10"/>
        <v>37210</v>
      </c>
      <c r="L35" s="302">
        <f t="shared" si="1"/>
        <v>100</v>
      </c>
      <c r="Y35" s="553"/>
    </row>
    <row r="36" spans="1:25" ht="16.5">
      <c r="A36" s="284"/>
      <c r="B36" s="540"/>
      <c r="C36" s="350" t="s">
        <v>854</v>
      </c>
      <c r="D36" s="297" t="s">
        <v>937</v>
      </c>
      <c r="E36" s="298">
        <v>20148</v>
      </c>
      <c r="F36" s="298">
        <v>20615</v>
      </c>
      <c r="G36" s="298">
        <v>20615</v>
      </c>
      <c r="H36" s="298">
        <v>30410</v>
      </c>
      <c r="I36" s="298">
        <v>27760</v>
      </c>
      <c r="J36" s="298">
        <v>18612</v>
      </c>
      <c r="K36" s="298">
        <v>18612</v>
      </c>
      <c r="L36" s="298">
        <f t="shared" si="1"/>
        <v>100</v>
      </c>
    </row>
    <row r="37" spans="1:25" ht="16.5">
      <c r="A37" s="284"/>
      <c r="B37" s="540"/>
      <c r="C37" s="350" t="s">
        <v>864</v>
      </c>
      <c r="D37" s="297" t="s">
        <v>932</v>
      </c>
      <c r="E37" s="298">
        <v>6680</v>
      </c>
      <c r="F37" s="298">
        <v>6680</v>
      </c>
      <c r="G37" s="298">
        <v>6875</v>
      </c>
      <c r="H37" s="298">
        <v>9455</v>
      </c>
      <c r="I37" s="298">
        <v>17432</v>
      </c>
      <c r="J37" s="298">
        <v>18598</v>
      </c>
      <c r="K37" s="298">
        <v>18598</v>
      </c>
      <c r="L37" s="298">
        <f t="shared" si="1"/>
        <v>100</v>
      </c>
    </row>
    <row r="38" spans="1:25" ht="16.5">
      <c r="A38" s="284"/>
      <c r="B38" s="540"/>
      <c r="C38" s="350" t="s">
        <v>390</v>
      </c>
      <c r="D38" s="297" t="s">
        <v>933</v>
      </c>
      <c r="E38" s="298"/>
      <c r="F38" s="298"/>
      <c r="G38" s="298"/>
      <c r="H38" s="298"/>
      <c r="I38" s="298"/>
      <c r="J38" s="298">
        <v>107</v>
      </c>
      <c r="K38" s="298">
        <v>107</v>
      </c>
      <c r="L38" s="298">
        <f t="shared" si="1"/>
        <v>100</v>
      </c>
    </row>
    <row r="39" spans="1:25" ht="16.5">
      <c r="A39" s="284"/>
      <c r="B39" s="540"/>
      <c r="C39" s="350"/>
      <c r="D39" s="545" t="s">
        <v>873</v>
      </c>
      <c r="E39" s="546">
        <f t="shared" ref="E39:I39" si="11">SUM(E32+E34+E33)</f>
        <v>26828</v>
      </c>
      <c r="F39" s="546">
        <f t="shared" si="11"/>
        <v>27295</v>
      </c>
      <c r="G39" s="546">
        <f t="shared" si="11"/>
        <v>27490</v>
      </c>
      <c r="H39" s="546">
        <f t="shared" si="11"/>
        <v>39865</v>
      </c>
      <c r="I39" s="546">
        <f t="shared" si="11"/>
        <v>45192</v>
      </c>
      <c r="J39" s="546">
        <f t="shared" ref="J39:K39" si="12">SUM(J32+J34+J33)</f>
        <v>37317</v>
      </c>
      <c r="K39" s="546">
        <f t="shared" si="12"/>
        <v>37317</v>
      </c>
      <c r="L39" s="546">
        <f t="shared" si="1"/>
        <v>100</v>
      </c>
    </row>
    <row r="40" spans="1:25" ht="16.5" customHeight="1">
      <c r="A40" s="284"/>
      <c r="B40" s="535" t="s">
        <v>5</v>
      </c>
      <c r="C40" s="351"/>
      <c r="D40" s="1959" t="s">
        <v>197</v>
      </c>
      <c r="E40" s="1959"/>
      <c r="F40" s="1959"/>
      <c r="G40" s="1959"/>
      <c r="H40" s="1959"/>
      <c r="I40" s="298"/>
      <c r="J40" s="298"/>
      <c r="K40" s="298"/>
      <c r="L40" s="298"/>
    </row>
    <row r="41" spans="1:25" ht="16.5">
      <c r="A41" s="284"/>
      <c r="B41" s="540"/>
      <c r="C41" s="351" t="s">
        <v>6</v>
      </c>
      <c r="D41" s="297" t="s">
        <v>508</v>
      </c>
      <c r="E41" s="298">
        <v>1920</v>
      </c>
      <c r="F41" s="298">
        <v>2160</v>
      </c>
      <c r="G41" s="298">
        <v>2201</v>
      </c>
      <c r="H41" s="298">
        <v>10611</v>
      </c>
      <c r="I41" s="298">
        <v>8039</v>
      </c>
      <c r="J41" s="298">
        <v>5838</v>
      </c>
      <c r="K41" s="298">
        <v>5838</v>
      </c>
      <c r="L41" s="298">
        <f t="shared" si="1"/>
        <v>100</v>
      </c>
    </row>
    <row r="42" spans="1:25" ht="16.5">
      <c r="A42" s="284"/>
      <c r="B42" s="540"/>
      <c r="C42" s="351" t="s">
        <v>8</v>
      </c>
      <c r="D42" s="297" t="s">
        <v>509</v>
      </c>
      <c r="E42" s="298">
        <v>615</v>
      </c>
      <c r="F42" s="298">
        <v>691</v>
      </c>
      <c r="G42" s="298">
        <v>704</v>
      </c>
      <c r="H42" s="298">
        <v>3291</v>
      </c>
      <c r="I42" s="298">
        <v>2083</v>
      </c>
      <c r="J42" s="298">
        <v>1199</v>
      </c>
      <c r="K42" s="298">
        <v>1199</v>
      </c>
      <c r="L42" s="298">
        <f t="shared" si="1"/>
        <v>100</v>
      </c>
    </row>
    <row r="43" spans="1:25" ht="16.5">
      <c r="A43" s="284"/>
      <c r="B43" s="540"/>
      <c r="C43" s="351" t="s">
        <v>10</v>
      </c>
      <c r="D43" s="297" t="s">
        <v>201</v>
      </c>
      <c r="E43" s="298">
        <v>24293</v>
      </c>
      <c r="F43" s="298">
        <v>24444</v>
      </c>
      <c r="G43" s="298">
        <v>24585</v>
      </c>
      <c r="H43" s="298">
        <v>25963</v>
      </c>
      <c r="I43" s="298">
        <v>35070</v>
      </c>
      <c r="J43" s="298">
        <v>30173</v>
      </c>
      <c r="K43" s="298">
        <v>30173</v>
      </c>
      <c r="L43" s="298">
        <f t="shared" si="1"/>
        <v>100</v>
      </c>
    </row>
    <row r="44" spans="1:25" ht="16.5">
      <c r="A44" s="284"/>
      <c r="B44" s="540"/>
      <c r="C44" s="351" t="s">
        <v>16</v>
      </c>
      <c r="D44" s="297" t="s">
        <v>881</v>
      </c>
      <c r="E44" s="298"/>
      <c r="F44" s="298"/>
      <c r="G44" s="298"/>
      <c r="H44" s="298"/>
      <c r="I44" s="298"/>
      <c r="J44" s="298"/>
      <c r="K44" s="298"/>
      <c r="L44" s="298"/>
    </row>
    <row r="45" spans="1:25" ht="16.5">
      <c r="A45" s="284"/>
      <c r="B45" s="540"/>
      <c r="C45" s="351" t="s">
        <v>18</v>
      </c>
      <c r="D45" s="297" t="s">
        <v>882</v>
      </c>
      <c r="E45" s="298"/>
      <c r="F45" s="298"/>
      <c r="G45" s="298"/>
      <c r="H45" s="298"/>
      <c r="I45" s="298"/>
      <c r="J45" s="298">
        <v>107</v>
      </c>
      <c r="K45" s="298">
        <v>107</v>
      </c>
      <c r="L45" s="298">
        <f t="shared" si="1"/>
        <v>100</v>
      </c>
    </row>
    <row r="46" spans="1:25" ht="16.5">
      <c r="A46" s="284"/>
      <c r="B46" s="540"/>
      <c r="C46" s="351" t="s">
        <v>494</v>
      </c>
      <c r="D46" s="297" t="s">
        <v>883</v>
      </c>
      <c r="E46" s="298"/>
      <c r="F46" s="298"/>
      <c r="G46" s="298"/>
      <c r="H46" s="298"/>
      <c r="I46" s="298"/>
      <c r="J46" s="298"/>
      <c r="K46" s="298"/>
      <c r="L46" s="298"/>
    </row>
    <row r="47" spans="1:25" ht="16.5">
      <c r="A47" s="284"/>
      <c r="B47" s="540"/>
      <c r="C47" s="351"/>
      <c r="D47" s="547" t="s">
        <v>884</v>
      </c>
      <c r="E47" s="546">
        <f t="shared" ref="E47:I47" si="13">SUM(E41:E46)</f>
        <v>26828</v>
      </c>
      <c r="F47" s="546">
        <f t="shared" si="13"/>
        <v>27295</v>
      </c>
      <c r="G47" s="546">
        <f t="shared" si="13"/>
        <v>27490</v>
      </c>
      <c r="H47" s="546">
        <f t="shared" si="13"/>
        <v>39865</v>
      </c>
      <c r="I47" s="546">
        <f t="shared" si="13"/>
        <v>45192</v>
      </c>
      <c r="J47" s="546">
        <f t="shared" ref="J47:K47" si="14">SUM(J41:J46)</f>
        <v>37317</v>
      </c>
      <c r="K47" s="546">
        <f t="shared" si="14"/>
        <v>37317</v>
      </c>
      <c r="L47" s="546">
        <f t="shared" si="1"/>
        <v>100</v>
      </c>
    </row>
    <row r="48" spans="1:25" ht="16.5">
      <c r="A48" s="284"/>
      <c r="B48" s="535" t="s">
        <v>19</v>
      </c>
      <c r="C48" s="280"/>
      <c r="D48" s="548" t="s">
        <v>885</v>
      </c>
      <c r="E48" s="415">
        <v>1</v>
      </c>
      <c r="F48" s="415">
        <v>0</v>
      </c>
      <c r="G48" s="415">
        <v>0</v>
      </c>
      <c r="H48" s="415">
        <v>3</v>
      </c>
      <c r="I48" s="415">
        <v>0</v>
      </c>
      <c r="J48" s="415">
        <v>0</v>
      </c>
      <c r="K48" s="415">
        <v>0</v>
      </c>
      <c r="L48" s="415"/>
    </row>
    <row r="49" spans="1:25" ht="17.25">
      <c r="A49" s="534"/>
      <c r="B49" s="535"/>
      <c r="C49" s="279"/>
      <c r="D49" s="574" t="s">
        <v>938</v>
      </c>
      <c r="E49" s="575"/>
      <c r="F49" s="575"/>
      <c r="G49" s="575"/>
      <c r="H49" s="575"/>
      <c r="I49" s="576"/>
      <c r="J49" s="576"/>
      <c r="K49" s="576"/>
      <c r="L49" s="576"/>
    </row>
    <row r="50" spans="1:25" ht="16.5" customHeight="1">
      <c r="A50" s="284"/>
      <c r="B50" s="535" t="s">
        <v>4</v>
      </c>
      <c r="C50" s="350"/>
      <c r="D50" s="1959" t="s">
        <v>196</v>
      </c>
      <c r="E50" s="1959"/>
      <c r="F50" s="1959"/>
      <c r="G50" s="1959"/>
      <c r="H50" s="1959"/>
      <c r="I50" s="298"/>
      <c r="J50" s="298"/>
      <c r="K50" s="298"/>
      <c r="L50" s="298"/>
    </row>
    <row r="51" spans="1:25" ht="16.5">
      <c r="A51" s="284"/>
      <c r="B51" s="540"/>
      <c r="C51" s="279" t="s">
        <v>102</v>
      </c>
      <c r="D51" s="297" t="s">
        <v>850</v>
      </c>
      <c r="E51" s="298">
        <f t="shared" ref="E51:I51" si="15">SUM(E52:E53)</f>
        <v>2585</v>
      </c>
      <c r="F51" s="298">
        <f t="shared" si="15"/>
        <v>3074</v>
      </c>
      <c r="G51" s="298">
        <f t="shared" si="15"/>
        <v>3074</v>
      </c>
      <c r="H51" s="298">
        <f t="shared" si="15"/>
        <v>3934</v>
      </c>
      <c r="I51" s="298">
        <f t="shared" si="15"/>
        <v>4860</v>
      </c>
      <c r="J51" s="298">
        <f t="shared" ref="J51:K51" si="16">SUM(J52:J53)</f>
        <v>4982</v>
      </c>
      <c r="K51" s="298">
        <f t="shared" si="16"/>
        <v>4982</v>
      </c>
      <c r="L51" s="298">
        <f t="shared" si="1"/>
        <v>100</v>
      </c>
    </row>
    <row r="52" spans="1:25" ht="16.5">
      <c r="A52" s="284"/>
      <c r="B52" s="540"/>
      <c r="C52" s="350" t="s">
        <v>939</v>
      </c>
      <c r="D52" s="297" t="s">
        <v>940</v>
      </c>
      <c r="E52" s="298">
        <v>2154</v>
      </c>
      <c r="F52" s="298">
        <v>2647</v>
      </c>
      <c r="G52" s="298">
        <v>2647</v>
      </c>
      <c r="H52" s="298">
        <v>3278</v>
      </c>
      <c r="I52" s="298">
        <v>4860</v>
      </c>
      <c r="J52" s="298">
        <v>4982</v>
      </c>
      <c r="K52" s="298">
        <v>4982</v>
      </c>
      <c r="L52" s="298">
        <f t="shared" si="1"/>
        <v>100</v>
      </c>
    </row>
    <row r="53" spans="1:25" ht="16.5">
      <c r="A53" s="284"/>
      <c r="B53" s="540"/>
      <c r="C53" s="350" t="s">
        <v>186</v>
      </c>
      <c r="D53" s="297" t="s">
        <v>899</v>
      </c>
      <c r="E53" s="298">
        <v>431</v>
      </c>
      <c r="F53" s="298">
        <v>427</v>
      </c>
      <c r="G53" s="298">
        <v>427</v>
      </c>
      <c r="H53" s="298">
        <v>656</v>
      </c>
      <c r="I53" s="298"/>
      <c r="J53" s="298"/>
      <c r="K53" s="298"/>
      <c r="L53" s="298" t="e">
        <f t="shared" si="1"/>
        <v>#DIV/0!</v>
      </c>
    </row>
    <row r="54" spans="1:25" ht="15" customHeight="1">
      <c r="A54" s="284"/>
      <c r="B54" s="540"/>
      <c r="C54" s="279" t="s">
        <v>104</v>
      </c>
      <c r="D54" s="297" t="s">
        <v>851</v>
      </c>
      <c r="E54" s="298">
        <v>0</v>
      </c>
      <c r="F54" s="298">
        <v>0</v>
      </c>
      <c r="G54" s="298">
        <v>0</v>
      </c>
      <c r="H54" s="298"/>
      <c r="I54" s="298"/>
      <c r="J54" s="298"/>
      <c r="K54" s="298"/>
      <c r="L54" s="298" t="e">
        <f t="shared" si="1"/>
        <v>#DIV/0!</v>
      </c>
    </row>
    <row r="55" spans="1:25" ht="16.5">
      <c r="A55" s="284"/>
      <c r="B55" s="540"/>
      <c r="C55" s="279" t="s">
        <v>106</v>
      </c>
      <c r="D55" s="297" t="s">
        <v>852</v>
      </c>
      <c r="E55" s="298">
        <f t="shared" ref="E55:I55" si="17">SUM(E56+E59)</f>
        <v>0</v>
      </c>
      <c r="F55" s="298">
        <f t="shared" si="17"/>
        <v>0</v>
      </c>
      <c r="G55" s="298">
        <f t="shared" si="17"/>
        <v>759</v>
      </c>
      <c r="H55" s="298">
        <f t="shared" si="17"/>
        <v>0</v>
      </c>
      <c r="I55" s="298">
        <f t="shared" si="17"/>
        <v>24354</v>
      </c>
      <c r="J55" s="298">
        <f t="shared" ref="J55:K55" si="18">SUM(J56+J59)</f>
        <v>15063</v>
      </c>
      <c r="K55" s="298">
        <f t="shared" si="18"/>
        <v>15063</v>
      </c>
      <c r="L55" s="298">
        <f t="shared" si="1"/>
        <v>100</v>
      </c>
    </row>
    <row r="56" spans="1:25" s="295" customFormat="1" ht="16.5">
      <c r="A56" s="541"/>
      <c r="B56" s="542"/>
      <c r="C56" s="304" t="s">
        <v>389</v>
      </c>
      <c r="D56" s="301" t="s">
        <v>853</v>
      </c>
      <c r="E56" s="302">
        <f>SUM(E57:E58)</f>
        <v>0</v>
      </c>
      <c r="F56" s="302"/>
      <c r="G56" s="302">
        <f>SUM(G57:G58)</f>
        <v>499</v>
      </c>
      <c r="H56" s="302">
        <f>SUM(H57:H58)</f>
        <v>0</v>
      </c>
      <c r="I56" s="302">
        <f>SUM(I57:I58)</f>
        <v>24354</v>
      </c>
      <c r="J56" s="302">
        <f t="shared" ref="J56:K56" si="19">SUM(J57:J58)</f>
        <v>14841</v>
      </c>
      <c r="K56" s="302">
        <f t="shared" si="19"/>
        <v>14841</v>
      </c>
      <c r="L56" s="302">
        <f t="shared" si="1"/>
        <v>100</v>
      </c>
      <c r="Y56" s="553"/>
    </row>
    <row r="57" spans="1:25" ht="16.5" customHeight="1">
      <c r="A57" s="284"/>
      <c r="B57" s="540"/>
      <c r="C57" s="350" t="s">
        <v>854</v>
      </c>
      <c r="D57" s="297" t="s">
        <v>941</v>
      </c>
      <c r="E57" s="298"/>
      <c r="F57" s="298"/>
      <c r="G57" s="298"/>
      <c r="H57" s="298"/>
      <c r="I57" s="298"/>
      <c r="J57" s="298"/>
      <c r="K57" s="298"/>
      <c r="L57" s="298" t="e">
        <f t="shared" si="1"/>
        <v>#DIV/0!</v>
      </c>
    </row>
    <row r="58" spans="1:25" ht="16.5">
      <c r="A58" s="284"/>
      <c r="B58" s="540"/>
      <c r="C58" s="350" t="s">
        <v>864</v>
      </c>
      <c r="D58" s="297" t="s">
        <v>932</v>
      </c>
      <c r="E58" s="298"/>
      <c r="F58" s="298"/>
      <c r="G58" s="298">
        <v>499</v>
      </c>
      <c r="H58" s="298">
        <v>0</v>
      </c>
      <c r="I58" s="298">
        <v>24354</v>
      </c>
      <c r="J58" s="298">
        <v>14841</v>
      </c>
      <c r="K58" s="298">
        <v>14841</v>
      </c>
      <c r="L58" s="298">
        <f t="shared" si="1"/>
        <v>100</v>
      </c>
    </row>
    <row r="59" spans="1:25" ht="16.5">
      <c r="A59" s="284"/>
      <c r="B59" s="540"/>
      <c r="C59" s="350" t="s">
        <v>390</v>
      </c>
      <c r="D59" s="297" t="s">
        <v>933</v>
      </c>
      <c r="E59" s="298"/>
      <c r="F59" s="298"/>
      <c r="G59" s="298">
        <v>260</v>
      </c>
      <c r="H59" s="298">
        <v>0</v>
      </c>
      <c r="I59" s="298"/>
      <c r="J59" s="298">
        <v>222</v>
      </c>
      <c r="K59" s="298">
        <v>222</v>
      </c>
      <c r="L59" s="298">
        <f t="shared" si="1"/>
        <v>100</v>
      </c>
    </row>
    <row r="60" spans="1:25" ht="16.5">
      <c r="A60" s="284"/>
      <c r="B60" s="540"/>
      <c r="C60" s="350"/>
      <c r="D60" s="545" t="s">
        <v>873</v>
      </c>
      <c r="E60" s="546">
        <f t="shared" ref="E60:I60" si="20">SUM(E51+E55+E54)</f>
        <v>2585</v>
      </c>
      <c r="F60" s="546">
        <f t="shared" si="20"/>
        <v>3074</v>
      </c>
      <c r="G60" s="546">
        <f t="shared" si="20"/>
        <v>3833</v>
      </c>
      <c r="H60" s="546">
        <f t="shared" si="20"/>
        <v>3934</v>
      </c>
      <c r="I60" s="546">
        <f t="shared" si="20"/>
        <v>29214</v>
      </c>
      <c r="J60" s="546">
        <f t="shared" ref="J60:K60" si="21">SUM(J51+J55+J54)</f>
        <v>20045</v>
      </c>
      <c r="K60" s="546">
        <f t="shared" si="21"/>
        <v>20045</v>
      </c>
      <c r="L60" s="546">
        <f t="shared" si="1"/>
        <v>100</v>
      </c>
    </row>
    <row r="61" spans="1:25" ht="16.5" customHeight="1">
      <c r="A61" s="284"/>
      <c r="B61" s="535" t="s">
        <v>5</v>
      </c>
      <c r="C61" s="351"/>
      <c r="D61" s="1959" t="s">
        <v>197</v>
      </c>
      <c r="E61" s="1959"/>
      <c r="F61" s="1959"/>
      <c r="G61" s="1959"/>
      <c r="H61" s="1959"/>
      <c r="I61" s="298"/>
      <c r="J61" s="298"/>
      <c r="K61" s="298"/>
      <c r="L61" s="298"/>
    </row>
    <row r="62" spans="1:25" ht="16.5">
      <c r="A62" s="284"/>
      <c r="B62" s="540"/>
      <c r="C62" s="351" t="s">
        <v>6</v>
      </c>
      <c r="D62" s="297" t="s">
        <v>508</v>
      </c>
      <c r="E62" s="298">
        <v>1962</v>
      </c>
      <c r="F62" s="298">
        <v>2295</v>
      </c>
      <c r="G62" s="298">
        <v>2363</v>
      </c>
      <c r="H62" s="298">
        <v>2499</v>
      </c>
      <c r="I62" s="298">
        <v>12869</v>
      </c>
      <c r="J62" s="298">
        <v>7879</v>
      </c>
      <c r="K62" s="298">
        <v>7879</v>
      </c>
      <c r="L62" s="298">
        <f t="shared" si="1"/>
        <v>100</v>
      </c>
    </row>
    <row r="63" spans="1:25" ht="16.5">
      <c r="A63" s="284"/>
      <c r="B63" s="540"/>
      <c r="C63" s="351" t="s">
        <v>8</v>
      </c>
      <c r="D63" s="297" t="s">
        <v>509</v>
      </c>
      <c r="E63" s="298">
        <v>587</v>
      </c>
      <c r="F63" s="298">
        <v>699</v>
      </c>
      <c r="G63" s="298">
        <v>721</v>
      </c>
      <c r="H63" s="298">
        <v>719</v>
      </c>
      <c r="I63" s="298">
        <v>3527</v>
      </c>
      <c r="J63" s="298">
        <v>2527</v>
      </c>
      <c r="K63" s="298">
        <v>2527</v>
      </c>
      <c r="L63" s="298">
        <f t="shared" si="1"/>
        <v>100</v>
      </c>
    </row>
    <row r="64" spans="1:25" ht="16.5">
      <c r="A64" s="284"/>
      <c r="B64" s="540"/>
      <c r="C64" s="351" t="s">
        <v>10</v>
      </c>
      <c r="D64" s="297" t="s">
        <v>201</v>
      </c>
      <c r="E64" s="298">
        <v>36</v>
      </c>
      <c r="F64" s="298">
        <v>80</v>
      </c>
      <c r="G64" s="298">
        <v>489</v>
      </c>
      <c r="H64" s="298">
        <v>716</v>
      </c>
      <c r="I64" s="298">
        <v>12818</v>
      </c>
      <c r="J64" s="298">
        <v>9417</v>
      </c>
      <c r="K64" s="298">
        <v>9417</v>
      </c>
      <c r="L64" s="298">
        <f t="shared" si="1"/>
        <v>100</v>
      </c>
    </row>
    <row r="65" spans="1:25" ht="16.5">
      <c r="A65" s="284"/>
      <c r="B65" s="540"/>
      <c r="C65" s="351" t="s">
        <v>12</v>
      </c>
      <c r="D65" s="297" t="s">
        <v>881</v>
      </c>
      <c r="E65" s="298"/>
      <c r="F65" s="298"/>
      <c r="G65" s="298"/>
      <c r="H65" s="298"/>
      <c r="I65" s="298"/>
      <c r="J65" s="298"/>
      <c r="K65" s="298"/>
      <c r="L65" s="298" t="e">
        <f t="shared" si="1"/>
        <v>#DIV/0!</v>
      </c>
    </row>
    <row r="66" spans="1:25" ht="16.5">
      <c r="A66" s="284"/>
      <c r="B66" s="540"/>
      <c r="C66" s="351" t="s">
        <v>14</v>
      </c>
      <c r="D66" s="297" t="s">
        <v>882</v>
      </c>
      <c r="E66" s="298"/>
      <c r="F66" s="298"/>
      <c r="G66" s="298">
        <v>260</v>
      </c>
      <c r="H66" s="298">
        <v>0</v>
      </c>
      <c r="I66" s="298"/>
      <c r="J66" s="298">
        <v>222</v>
      </c>
      <c r="K66" s="298">
        <v>222</v>
      </c>
      <c r="L66" s="298">
        <f t="shared" si="1"/>
        <v>100</v>
      </c>
    </row>
    <row r="67" spans="1:25" ht="16.5">
      <c r="A67" s="284"/>
      <c r="B67" s="540"/>
      <c r="C67" s="351" t="s">
        <v>16</v>
      </c>
      <c r="D67" s="297" t="s">
        <v>883</v>
      </c>
      <c r="E67" s="298"/>
      <c r="F67" s="298"/>
      <c r="G67" s="298"/>
      <c r="H67" s="298"/>
      <c r="I67" s="298"/>
      <c r="J67" s="298"/>
      <c r="K67" s="298"/>
      <c r="L67" s="298" t="e">
        <f t="shared" si="1"/>
        <v>#DIV/0!</v>
      </c>
    </row>
    <row r="68" spans="1:25" ht="16.5">
      <c r="A68" s="284"/>
      <c r="B68" s="540"/>
      <c r="C68" s="351"/>
      <c r="D68" s="547" t="s">
        <v>884</v>
      </c>
      <c r="E68" s="546">
        <f t="shared" ref="E68:I68" si="22">SUM(E62:E67)</f>
        <v>2585</v>
      </c>
      <c r="F68" s="546">
        <f t="shared" si="22"/>
        <v>3074</v>
      </c>
      <c r="G68" s="546">
        <f t="shared" si="22"/>
        <v>3833</v>
      </c>
      <c r="H68" s="546">
        <f t="shared" si="22"/>
        <v>3934</v>
      </c>
      <c r="I68" s="546">
        <f t="shared" si="22"/>
        <v>29214</v>
      </c>
      <c r="J68" s="546">
        <f t="shared" ref="J68:K68" si="23">SUM(J62:J67)</f>
        <v>20045</v>
      </c>
      <c r="K68" s="546">
        <f t="shared" si="23"/>
        <v>20045</v>
      </c>
      <c r="L68" s="546">
        <f t="shared" si="1"/>
        <v>100</v>
      </c>
    </row>
    <row r="69" spans="1:25" ht="16.5">
      <c r="A69" s="284"/>
      <c r="B69" s="535" t="s">
        <v>19</v>
      </c>
      <c r="C69" s="280"/>
      <c r="D69" s="548" t="s">
        <v>885</v>
      </c>
      <c r="E69" s="415">
        <v>1</v>
      </c>
      <c r="F69" s="415">
        <v>1</v>
      </c>
      <c r="G69" s="415">
        <v>1</v>
      </c>
      <c r="H69" s="415">
        <v>1</v>
      </c>
      <c r="I69" s="415">
        <v>1</v>
      </c>
      <c r="J69" s="415">
        <v>1</v>
      </c>
      <c r="K69" s="415">
        <v>1</v>
      </c>
      <c r="L69" s="415"/>
    </row>
    <row r="70" spans="1:25" ht="17.25">
      <c r="A70" s="534"/>
      <c r="B70" s="535"/>
      <c r="C70" s="279"/>
      <c r="D70" s="574" t="s">
        <v>942</v>
      </c>
      <c r="E70" s="575"/>
      <c r="F70" s="575"/>
      <c r="G70" s="575"/>
      <c r="H70" s="575"/>
      <c r="I70" s="576"/>
      <c r="J70" s="576"/>
      <c r="K70" s="576"/>
      <c r="L70" s="576"/>
    </row>
    <row r="71" spans="1:25" ht="16.5" customHeight="1">
      <c r="A71" s="284"/>
      <c r="B71" s="535" t="s">
        <v>4</v>
      </c>
      <c r="C71" s="350"/>
      <c r="D71" s="1959" t="s">
        <v>196</v>
      </c>
      <c r="E71" s="1959"/>
      <c r="F71" s="1959"/>
      <c r="G71" s="1959"/>
      <c r="H71" s="1959"/>
      <c r="I71" s="298"/>
      <c r="J71" s="298"/>
      <c r="K71" s="298"/>
      <c r="L71" s="298"/>
    </row>
    <row r="72" spans="1:25" ht="16.5">
      <c r="A72" s="284"/>
      <c r="B72" s="540"/>
      <c r="C72" s="279" t="s">
        <v>102</v>
      </c>
      <c r="D72" s="297" t="s">
        <v>850</v>
      </c>
      <c r="E72" s="298"/>
      <c r="F72" s="298"/>
      <c r="G72" s="298"/>
      <c r="H72" s="308"/>
      <c r="I72" s="298"/>
      <c r="J72" s="298"/>
      <c r="K72" s="298"/>
      <c r="L72" s="298" t="e">
        <f t="shared" ref="L72:L134" si="24">K72/J72*100</f>
        <v>#DIV/0!</v>
      </c>
    </row>
    <row r="73" spans="1:25" ht="15" customHeight="1">
      <c r="A73" s="284"/>
      <c r="B73" s="540"/>
      <c r="C73" s="279" t="s">
        <v>104</v>
      </c>
      <c r="D73" s="297" t="s">
        <v>851</v>
      </c>
      <c r="E73" s="298">
        <v>0</v>
      </c>
      <c r="F73" s="298">
        <v>0</v>
      </c>
      <c r="G73" s="298">
        <v>0</v>
      </c>
      <c r="H73" s="308"/>
      <c r="I73" s="298">
        <v>0</v>
      </c>
      <c r="J73" s="298"/>
      <c r="K73" s="298"/>
      <c r="L73" s="298" t="e">
        <f t="shared" si="24"/>
        <v>#DIV/0!</v>
      </c>
    </row>
    <row r="74" spans="1:25" ht="16.5">
      <c r="A74" s="284"/>
      <c r="B74" s="540"/>
      <c r="C74" s="279" t="s">
        <v>106</v>
      </c>
      <c r="D74" s="297" t="s">
        <v>852</v>
      </c>
      <c r="E74" s="298">
        <f t="shared" ref="E74:I74" si="25">SUM(E75+E78)</f>
        <v>11898</v>
      </c>
      <c r="F74" s="298">
        <f t="shared" si="25"/>
        <v>13011</v>
      </c>
      <c r="G74" s="298">
        <f t="shared" si="25"/>
        <v>13387</v>
      </c>
      <c r="H74" s="308">
        <f t="shared" si="25"/>
        <v>0</v>
      </c>
      <c r="I74" s="298">
        <f t="shared" si="25"/>
        <v>11928</v>
      </c>
      <c r="J74" s="298">
        <f t="shared" ref="J74:K74" si="26">SUM(J75+J78)</f>
        <v>11511</v>
      </c>
      <c r="K74" s="298">
        <f t="shared" si="26"/>
        <v>11511</v>
      </c>
      <c r="L74" s="298">
        <f t="shared" si="24"/>
        <v>100</v>
      </c>
    </row>
    <row r="75" spans="1:25" s="295" customFormat="1" ht="16.5">
      <c r="A75" s="541"/>
      <c r="B75" s="542"/>
      <c r="C75" s="304" t="s">
        <v>389</v>
      </c>
      <c r="D75" s="301" t="s">
        <v>853</v>
      </c>
      <c r="E75" s="302">
        <f t="shared" ref="E75:I75" si="27">SUM(E76:E77)</f>
        <v>11898</v>
      </c>
      <c r="F75" s="302">
        <f t="shared" si="27"/>
        <v>13011</v>
      </c>
      <c r="G75" s="302">
        <f t="shared" si="27"/>
        <v>13387</v>
      </c>
      <c r="H75" s="577">
        <f t="shared" si="27"/>
        <v>0</v>
      </c>
      <c r="I75" s="302">
        <f t="shared" si="27"/>
        <v>11928</v>
      </c>
      <c r="J75" s="302">
        <f t="shared" ref="J75:K75" si="28">SUM(J76:J77)</f>
        <v>11511</v>
      </c>
      <c r="K75" s="302">
        <f t="shared" si="28"/>
        <v>11511</v>
      </c>
      <c r="L75" s="302">
        <f t="shared" si="24"/>
        <v>100</v>
      </c>
      <c r="Y75" s="553"/>
    </row>
    <row r="76" spans="1:25" ht="16.5">
      <c r="A76" s="284"/>
      <c r="B76" s="540"/>
      <c r="C76" s="350" t="s">
        <v>854</v>
      </c>
      <c r="D76" s="297" t="s">
        <v>937</v>
      </c>
      <c r="E76" s="298">
        <v>10776</v>
      </c>
      <c r="F76" s="298">
        <v>10236</v>
      </c>
      <c r="G76" s="298">
        <v>10236</v>
      </c>
      <c r="H76" s="308">
        <v>0</v>
      </c>
      <c r="I76" s="298">
        <v>11928</v>
      </c>
      <c r="J76" s="298">
        <v>11511</v>
      </c>
      <c r="K76" s="298">
        <v>11511</v>
      </c>
      <c r="L76" s="298">
        <f t="shared" si="24"/>
        <v>100</v>
      </c>
    </row>
    <row r="77" spans="1:25" ht="16.5">
      <c r="A77" s="284"/>
      <c r="B77" s="540"/>
      <c r="C77" s="350" t="s">
        <v>864</v>
      </c>
      <c r="D77" s="297" t="s">
        <v>932</v>
      </c>
      <c r="E77" s="298">
        <v>1122</v>
      </c>
      <c r="F77" s="298">
        <v>2775</v>
      </c>
      <c r="G77" s="298">
        <v>3151</v>
      </c>
      <c r="H77" s="308">
        <v>0</v>
      </c>
      <c r="I77" s="298"/>
      <c r="J77" s="298"/>
      <c r="K77" s="298"/>
      <c r="L77" s="298" t="e">
        <f t="shared" si="24"/>
        <v>#DIV/0!</v>
      </c>
    </row>
    <row r="78" spans="1:25" ht="16.5">
      <c r="A78" s="284"/>
      <c r="B78" s="540"/>
      <c r="C78" s="350" t="s">
        <v>390</v>
      </c>
      <c r="D78" s="297" t="s">
        <v>933</v>
      </c>
      <c r="E78" s="298"/>
      <c r="F78" s="298"/>
      <c r="G78" s="298"/>
      <c r="H78" s="308"/>
      <c r="I78" s="298"/>
      <c r="J78" s="298"/>
      <c r="K78" s="298"/>
      <c r="L78" s="298" t="e">
        <f t="shared" si="24"/>
        <v>#DIV/0!</v>
      </c>
    </row>
    <row r="79" spans="1:25" s="289" customFormat="1" ht="16.5">
      <c r="A79" s="284"/>
      <c r="B79" s="285"/>
      <c r="C79" s="286" t="s">
        <v>432</v>
      </c>
      <c r="D79" s="297" t="s">
        <v>438</v>
      </c>
      <c r="E79" s="288"/>
      <c r="F79" s="288"/>
      <c r="G79" s="288"/>
      <c r="H79" s="288"/>
      <c r="I79" s="298"/>
      <c r="J79" s="298"/>
      <c r="K79" s="298"/>
      <c r="L79" s="298" t="e">
        <f t="shared" si="24"/>
        <v>#DIV/0!</v>
      </c>
    </row>
    <row r="80" spans="1:25" ht="16.5">
      <c r="A80" s="284"/>
      <c r="B80" s="540"/>
      <c r="C80" s="350"/>
      <c r="D80" s="545" t="s">
        <v>873</v>
      </c>
      <c r="E80" s="546">
        <f>SUM(E72+E74+E73)</f>
        <v>11898</v>
      </c>
      <c r="F80" s="546">
        <f>SUM(F72+F74+F73)</f>
        <v>13011</v>
      </c>
      <c r="G80" s="546">
        <f>SUM(G72+G74+G73)</f>
        <v>13387</v>
      </c>
      <c r="H80" s="578">
        <f>SUM(H72+H74+H73)</f>
        <v>0</v>
      </c>
      <c r="I80" s="546">
        <f>SUM(I72+I74+I73+I79)</f>
        <v>11928</v>
      </c>
      <c r="J80" s="546">
        <f t="shared" ref="J80:K80" si="29">SUM(J72+J74+J73+J79)</f>
        <v>11511</v>
      </c>
      <c r="K80" s="546">
        <f t="shared" si="29"/>
        <v>11511</v>
      </c>
      <c r="L80" s="546">
        <f t="shared" si="24"/>
        <v>100</v>
      </c>
    </row>
    <row r="81" spans="1:25" ht="16.5" customHeight="1">
      <c r="A81" s="284"/>
      <c r="B81" s="535" t="s">
        <v>5</v>
      </c>
      <c r="C81" s="351"/>
      <c r="D81" s="1959" t="s">
        <v>197</v>
      </c>
      <c r="E81" s="1959"/>
      <c r="F81" s="1959"/>
      <c r="G81" s="1959"/>
      <c r="H81" s="1959"/>
      <c r="I81" s="298"/>
      <c r="J81" s="298"/>
      <c r="K81" s="298"/>
      <c r="L81" s="298"/>
    </row>
    <row r="82" spans="1:25" ht="16.5">
      <c r="A82" s="284"/>
      <c r="B82" s="540"/>
      <c r="C82" s="351" t="s">
        <v>6</v>
      </c>
      <c r="D82" s="297" t="s">
        <v>508</v>
      </c>
      <c r="E82" s="298">
        <v>7165</v>
      </c>
      <c r="F82" s="298">
        <v>8560</v>
      </c>
      <c r="G82" s="298">
        <v>8845</v>
      </c>
      <c r="H82" s="308">
        <v>0</v>
      </c>
      <c r="I82" s="298">
        <v>8438</v>
      </c>
      <c r="J82" s="298">
        <v>8051</v>
      </c>
      <c r="K82" s="298">
        <v>8051</v>
      </c>
      <c r="L82" s="298">
        <f t="shared" si="24"/>
        <v>100</v>
      </c>
    </row>
    <row r="83" spans="1:25" ht="16.5">
      <c r="A83" s="284"/>
      <c r="B83" s="540"/>
      <c r="C83" s="351" t="s">
        <v>8</v>
      </c>
      <c r="D83" s="297" t="s">
        <v>509</v>
      </c>
      <c r="E83" s="298">
        <v>2274</v>
      </c>
      <c r="F83" s="298">
        <v>2699</v>
      </c>
      <c r="G83" s="298">
        <v>2790</v>
      </c>
      <c r="H83" s="308">
        <v>0</v>
      </c>
      <c r="I83" s="298">
        <v>2303</v>
      </c>
      <c r="J83" s="298">
        <v>2303</v>
      </c>
      <c r="K83" s="298">
        <v>2303</v>
      </c>
      <c r="L83" s="298">
        <f t="shared" si="24"/>
        <v>100</v>
      </c>
    </row>
    <row r="84" spans="1:25" ht="16.5">
      <c r="A84" s="284"/>
      <c r="B84" s="540"/>
      <c r="C84" s="351" t="s">
        <v>10</v>
      </c>
      <c r="D84" s="297" t="s">
        <v>201</v>
      </c>
      <c r="E84" s="298">
        <v>2459</v>
      </c>
      <c r="F84" s="298">
        <v>1752</v>
      </c>
      <c r="G84" s="298">
        <v>1752</v>
      </c>
      <c r="H84" s="308">
        <v>0</v>
      </c>
      <c r="I84" s="298">
        <v>1187</v>
      </c>
      <c r="J84" s="298">
        <v>1157</v>
      </c>
      <c r="K84" s="298">
        <v>1157</v>
      </c>
      <c r="L84" s="298">
        <f t="shared" si="24"/>
        <v>100</v>
      </c>
    </row>
    <row r="85" spans="1:25" ht="16.5">
      <c r="A85" s="284"/>
      <c r="B85" s="540"/>
      <c r="C85" s="351" t="s">
        <v>12</v>
      </c>
      <c r="D85" s="297" t="s">
        <v>881</v>
      </c>
      <c r="E85" s="298"/>
      <c r="F85" s="298"/>
      <c r="G85" s="298"/>
      <c r="H85" s="308"/>
      <c r="I85" s="298"/>
      <c r="J85" s="298"/>
      <c r="K85" s="298"/>
      <c r="L85" s="298" t="e">
        <f t="shared" si="24"/>
        <v>#DIV/0!</v>
      </c>
    </row>
    <row r="86" spans="1:25" ht="16.5">
      <c r="A86" s="284"/>
      <c r="B86" s="540"/>
      <c r="C86" s="351" t="s">
        <v>14</v>
      </c>
      <c r="D86" s="297" t="s">
        <v>882</v>
      </c>
      <c r="E86" s="298"/>
      <c r="F86" s="298"/>
      <c r="G86" s="298"/>
      <c r="H86" s="308"/>
      <c r="I86" s="298"/>
      <c r="J86" s="298"/>
      <c r="K86" s="298"/>
      <c r="L86" s="298" t="e">
        <f t="shared" si="24"/>
        <v>#DIV/0!</v>
      </c>
    </row>
    <row r="87" spans="1:25" ht="16.5">
      <c r="A87" s="284"/>
      <c r="B87" s="540"/>
      <c r="C87" s="351" t="s">
        <v>16</v>
      </c>
      <c r="D87" s="297" t="s">
        <v>883</v>
      </c>
      <c r="E87" s="298"/>
      <c r="F87" s="298"/>
      <c r="G87" s="298"/>
      <c r="H87" s="308"/>
      <c r="I87" s="298"/>
      <c r="J87" s="298"/>
      <c r="K87" s="298"/>
      <c r="L87" s="298" t="e">
        <f t="shared" si="24"/>
        <v>#DIV/0!</v>
      </c>
    </row>
    <row r="88" spans="1:25" ht="16.5">
      <c r="A88" s="284"/>
      <c r="B88" s="540"/>
      <c r="C88" s="351"/>
      <c r="D88" s="547" t="s">
        <v>884</v>
      </c>
      <c r="E88" s="546">
        <f t="shared" ref="E88:I88" si="30">SUM(E82:E87)</f>
        <v>11898</v>
      </c>
      <c r="F88" s="546">
        <f t="shared" si="30"/>
        <v>13011</v>
      </c>
      <c r="G88" s="546">
        <f t="shared" si="30"/>
        <v>13387</v>
      </c>
      <c r="H88" s="578">
        <f t="shared" si="30"/>
        <v>0</v>
      </c>
      <c r="I88" s="546">
        <f t="shared" si="30"/>
        <v>11928</v>
      </c>
      <c r="J88" s="546">
        <f t="shared" ref="J88:K88" si="31">SUM(J82:J87)</f>
        <v>11511</v>
      </c>
      <c r="K88" s="546">
        <f t="shared" si="31"/>
        <v>11511</v>
      </c>
      <c r="L88" s="546">
        <f t="shared" si="24"/>
        <v>100</v>
      </c>
    </row>
    <row r="89" spans="1:25" ht="16.5">
      <c r="A89" s="284"/>
      <c r="B89" s="535" t="s">
        <v>19</v>
      </c>
      <c r="C89" s="280"/>
      <c r="D89" s="548" t="s">
        <v>885</v>
      </c>
      <c r="E89" s="415">
        <v>3</v>
      </c>
      <c r="F89" s="415">
        <v>3</v>
      </c>
      <c r="G89" s="415">
        <v>3</v>
      </c>
      <c r="H89" s="415">
        <v>0</v>
      </c>
      <c r="I89" s="415">
        <v>3</v>
      </c>
      <c r="J89" s="415">
        <v>3</v>
      </c>
      <c r="K89" s="415">
        <v>3</v>
      </c>
      <c r="L89" s="415"/>
    </row>
    <row r="90" spans="1:25" ht="17.25">
      <c r="A90" s="534"/>
      <c r="B90" s="535"/>
      <c r="C90" s="279"/>
      <c r="D90" s="574" t="s">
        <v>943</v>
      </c>
      <c r="E90" s="575"/>
      <c r="F90" s="575"/>
      <c r="G90" s="575"/>
      <c r="H90" s="575"/>
      <c r="I90" s="576"/>
      <c r="J90" s="576"/>
      <c r="K90" s="576"/>
      <c r="L90" s="576"/>
      <c r="M90" s="303" t="s">
        <v>944</v>
      </c>
      <c r="N90" s="579" t="s">
        <v>945</v>
      </c>
      <c r="O90" s="579" t="s">
        <v>946</v>
      </c>
      <c r="P90" s="580" t="s">
        <v>947</v>
      </c>
      <c r="Q90" s="581" t="s">
        <v>948</v>
      </c>
      <c r="R90" s="581" t="s">
        <v>949</v>
      </c>
      <c r="S90" s="582" t="s">
        <v>1753</v>
      </c>
      <c r="T90" s="582" t="s">
        <v>1754</v>
      </c>
      <c r="U90" s="582" t="s">
        <v>1755</v>
      </c>
    </row>
    <row r="91" spans="1:25" ht="16.5" customHeight="1">
      <c r="A91" s="284"/>
      <c r="B91" s="535" t="s">
        <v>4</v>
      </c>
      <c r="C91" s="350"/>
      <c r="D91" s="1959" t="s">
        <v>196</v>
      </c>
      <c r="E91" s="1959"/>
      <c r="F91" s="1959"/>
      <c r="G91" s="1959"/>
      <c r="H91" s="1959"/>
      <c r="I91" s="298"/>
      <c r="J91" s="298"/>
      <c r="K91" s="298"/>
      <c r="L91" s="298"/>
      <c r="M91" s="297" t="s">
        <v>850</v>
      </c>
      <c r="N91" s="583" t="e">
        <f>SUM(#REF!,#REF!,#REF!,#REF!,#REF!,#REF!,#REF!,#REF!,#REF!,#REF!,#REF!,#REF!,#REF!,#REF!,#REF!,#REF!,#REF!,F2,F30,#REF!,F50,F75,F99,F123)</f>
        <v>#REF!</v>
      </c>
      <c r="O91" s="583">
        <f>SUM(H5+H32+H51+H72+H92+H110)</f>
        <v>10815</v>
      </c>
      <c r="P91" s="583" t="e">
        <f>SUM(#REF!+#REF!+#REF!+#REF!+#REF!+#REF!+#REF!+#REF!)</f>
        <v>#REF!</v>
      </c>
      <c r="Q91" s="583" t="e">
        <f>SUM(#REF!+#REF!+#REF!+#REF!+#REF!+#REF!+#REF!+#REF!)</f>
        <v>#REF!</v>
      </c>
      <c r="R91" s="583" t="e">
        <f>SUM(#REF!+#REF!+#REF!+#REF!+#REF!+#REF!+#REF!+#REF!)</f>
        <v>#REF!</v>
      </c>
      <c r="S91" s="583">
        <f>SUM(I5+I32+I51+I72+I92+I110+I127+I148)</f>
        <v>19150</v>
      </c>
      <c r="T91" s="583">
        <f>SUM(J5+J32+J51+J72+J92+J110+J127+J148)</f>
        <v>21909</v>
      </c>
      <c r="U91" s="583">
        <f>SUM(K5+K32+K51+K72+K92+K110+K127+K148)</f>
        <v>22812</v>
      </c>
      <c r="V91" s="419"/>
    </row>
    <row r="92" spans="1:25" ht="16.5">
      <c r="A92" s="284"/>
      <c r="B92" s="540"/>
      <c r="C92" s="279" t="s">
        <v>102</v>
      </c>
      <c r="D92" s="297" t="s">
        <v>850</v>
      </c>
      <c r="E92" s="298"/>
      <c r="F92" s="298"/>
      <c r="G92" s="298">
        <v>2</v>
      </c>
      <c r="H92" s="298">
        <v>0</v>
      </c>
      <c r="I92" s="298"/>
      <c r="J92" s="298"/>
      <c r="K92" s="298"/>
      <c r="L92" s="298" t="e">
        <f t="shared" si="24"/>
        <v>#DIV/0!</v>
      </c>
      <c r="M92" s="584" t="s">
        <v>950</v>
      </c>
      <c r="N92" s="322" t="e">
        <f>#REF!+#REF!+#REF!+#REF!+#REF!+#REF!+#REF!+#REF!+#REF!+#REF!+#REF!+#REF!+#REF!+#REF!+#REF!+#REF!+#REF!+E7+E31+#REF!+E56+E81+E105+E124</f>
        <v>#REF!</v>
      </c>
      <c r="O92" s="322">
        <f>SUM(H10+H33+H54+H73+H93+H111)</f>
        <v>0</v>
      </c>
      <c r="P92" s="322" t="e">
        <f>SUM(#REF!+#REF!+#REF!+#REF!+#REF!+#REF!+#REF!+#REF!)</f>
        <v>#REF!</v>
      </c>
      <c r="Q92" s="322" t="e">
        <f>SUM(#REF!+#REF!+#REF!+#REF!+#REF!+#REF!+#REF!+#REF!)</f>
        <v>#REF!</v>
      </c>
      <c r="R92" s="322" t="e">
        <f>SUM(#REF!+#REF!+#REF!+#REF!+#REF!+#REF!+#REF!+#REF!)</f>
        <v>#REF!</v>
      </c>
      <c r="S92" s="322">
        <f>SUM(I10+I33+I54+I73+I93+I111+I130+I149)</f>
        <v>0</v>
      </c>
      <c r="T92" s="322">
        <f>SUM(J10+J33+J54+J73+J93+J111+J130+J149)</f>
        <v>0</v>
      </c>
      <c r="U92" s="322">
        <f>SUM(K10+K33+K54+K73+K93+K111+K130+K149)</f>
        <v>400</v>
      </c>
      <c r="V92" s="419"/>
    </row>
    <row r="93" spans="1:25" ht="15" customHeight="1">
      <c r="A93" s="284"/>
      <c r="B93" s="540"/>
      <c r="C93" s="279" t="s">
        <v>104</v>
      </c>
      <c r="D93" s="297" t="s">
        <v>851</v>
      </c>
      <c r="E93" s="298">
        <v>0</v>
      </c>
      <c r="F93" s="298">
        <v>0</v>
      </c>
      <c r="G93" s="298">
        <v>0</v>
      </c>
      <c r="H93" s="298"/>
      <c r="I93" s="298"/>
      <c r="J93" s="298"/>
      <c r="K93" s="298"/>
      <c r="L93" s="298" t="e">
        <f t="shared" si="24"/>
        <v>#DIV/0!</v>
      </c>
      <c r="M93" s="297" t="s">
        <v>930</v>
      </c>
      <c r="N93" s="583"/>
      <c r="O93" s="583">
        <f>SUM(H9+H53)</f>
        <v>1803</v>
      </c>
      <c r="P93" s="583" t="e">
        <f>SUM(#REF!+#REF!+#REF!)</f>
        <v>#REF!</v>
      </c>
      <c r="Q93" s="583" t="e">
        <f>SUM(#REF!+#REF!+#REF!)</f>
        <v>#REF!</v>
      </c>
      <c r="R93" s="583" t="e">
        <f>SUM(#REF!+#REF!+#REF!)</f>
        <v>#REF!</v>
      </c>
      <c r="S93" s="583">
        <f>SUM(I9+I53+I129)</f>
        <v>0</v>
      </c>
      <c r="T93" s="583">
        <f t="shared" ref="T93:U93" si="32">SUM(J9+J53+J129)</f>
        <v>0</v>
      </c>
      <c r="U93" s="583">
        <f t="shared" si="32"/>
        <v>80</v>
      </c>
      <c r="V93" s="419"/>
    </row>
    <row r="94" spans="1:25" ht="16.5">
      <c r="A94" s="284"/>
      <c r="B94" s="540"/>
      <c r="C94" s="279" t="s">
        <v>106</v>
      </c>
      <c r="D94" s="297" t="s">
        <v>852</v>
      </c>
      <c r="E94" s="298">
        <f t="shared" ref="E94:I94" si="33">SUM(E95+E98)</f>
        <v>27927</v>
      </c>
      <c r="F94" s="298">
        <f t="shared" si="33"/>
        <v>30134</v>
      </c>
      <c r="G94" s="298">
        <f t="shared" si="33"/>
        <v>31732</v>
      </c>
      <c r="H94" s="298">
        <f t="shared" si="33"/>
        <v>28884</v>
      </c>
      <c r="I94" s="298">
        <f t="shared" si="33"/>
        <v>29434</v>
      </c>
      <c r="J94" s="298">
        <f t="shared" ref="J94:K94" si="34">SUM(J95+J98)</f>
        <v>33171</v>
      </c>
      <c r="K94" s="298">
        <f t="shared" si="34"/>
        <v>33171</v>
      </c>
      <c r="L94" s="298">
        <f t="shared" si="24"/>
        <v>100</v>
      </c>
      <c r="M94" s="297" t="s">
        <v>852</v>
      </c>
      <c r="N94" s="583" t="e">
        <f>SUM(#REF!,#REF!,#REF!,#REF!,#REF!,#REF!,#REF!,#REF!,#REF!,#REF!,#REF!,#REF!,#REF!,#REF!,#REF!,#REF!,#REF!,E8,E32,#REF!,E57,E82,E106,#REF!)</f>
        <v>#REF!</v>
      </c>
      <c r="O94" s="583">
        <f>SUM(H11+H34+H55+H74+H94+H112)</f>
        <v>326749</v>
      </c>
      <c r="P94" s="583" t="e">
        <f>SUM(#REF!+#REF!+#REF!+#REF!+#REF!+#REF!+#REF!+#REF!)</f>
        <v>#REF!</v>
      </c>
      <c r="Q94" s="583" t="e">
        <f>SUM(#REF!+#REF!+#REF!+#REF!+#REF!+#REF!+#REF!+#REF!)</f>
        <v>#REF!</v>
      </c>
      <c r="R94" s="583" t="e">
        <f>SUM(#REF!+#REF!+#REF!+#REF!+#REF!+#REF!+#REF!+#REF!)</f>
        <v>#REF!</v>
      </c>
      <c r="S94" s="583">
        <f t="shared" ref="S94:U98" si="35">SUM(I11+I34+I55+I74+I94+I112+I131+I150)</f>
        <v>524305</v>
      </c>
      <c r="T94" s="583">
        <f t="shared" si="35"/>
        <v>568661</v>
      </c>
      <c r="U94" s="583">
        <f t="shared" si="35"/>
        <v>563484</v>
      </c>
      <c r="V94" s="419"/>
    </row>
    <row r="95" spans="1:25" s="295" customFormat="1" ht="16.5">
      <c r="A95" s="541"/>
      <c r="B95" s="542"/>
      <c r="C95" s="304" t="s">
        <v>389</v>
      </c>
      <c r="D95" s="301" t="s">
        <v>853</v>
      </c>
      <c r="E95" s="302">
        <f t="shared" ref="E95:I95" si="36">SUM(E96:E97)</f>
        <v>27927</v>
      </c>
      <c r="F95" s="302">
        <f t="shared" si="36"/>
        <v>30134</v>
      </c>
      <c r="G95" s="302">
        <f t="shared" si="36"/>
        <v>31732</v>
      </c>
      <c r="H95" s="302">
        <f t="shared" si="36"/>
        <v>28884</v>
      </c>
      <c r="I95" s="302">
        <f t="shared" si="36"/>
        <v>29434</v>
      </c>
      <c r="J95" s="302">
        <f t="shared" ref="J95:K95" si="37">SUM(J96:J97)</f>
        <v>33171</v>
      </c>
      <c r="K95" s="302">
        <f t="shared" si="37"/>
        <v>33171</v>
      </c>
      <c r="L95" s="302">
        <f t="shared" si="24"/>
        <v>100</v>
      </c>
      <c r="M95" s="297" t="s">
        <v>853</v>
      </c>
      <c r="N95" s="583" t="e">
        <f>SUM(#REF!,#REF!,#REF!,#REF!,#REF!,#REF!,#REF!,#REF!,#REF!,#REF!,#REF!,#REF!,#REF!,#REF!,#REF!,#REF!,#REF!,E9,#REF!,E58,E83,E107,#REF!)</f>
        <v>#REF!</v>
      </c>
      <c r="O95" s="583">
        <f>SUM(H12+H35+H56+H75+H95+H113)</f>
        <v>326749</v>
      </c>
      <c r="P95" s="583" t="e">
        <f>SUM(#REF!+#REF!+#REF!+#REF!+#REF!+#REF!+#REF!+#REF!)</f>
        <v>#REF!</v>
      </c>
      <c r="Q95" s="583" t="e">
        <f>SUM(#REF!+#REF!+#REF!+#REF!+#REF!+#REF!+#REF!+#REF!)</f>
        <v>#REF!</v>
      </c>
      <c r="R95" s="583" t="e">
        <f>SUM(#REF!+#REF!+#REF!+#REF!+#REF!+#REF!+#REF!+#REF!)</f>
        <v>#REF!</v>
      </c>
      <c r="S95" s="583">
        <f t="shared" si="35"/>
        <v>524305</v>
      </c>
      <c r="T95" s="583">
        <f t="shared" si="35"/>
        <v>565256</v>
      </c>
      <c r="U95" s="583">
        <f t="shared" si="35"/>
        <v>560079</v>
      </c>
      <c r="V95" s="419"/>
      <c r="W95" s="274"/>
      <c r="X95" s="274"/>
      <c r="Y95" s="553"/>
    </row>
    <row r="96" spans="1:25" ht="16.5">
      <c r="A96" s="284"/>
      <c r="B96" s="540"/>
      <c r="C96" s="350" t="s">
        <v>854</v>
      </c>
      <c r="D96" s="297" t="s">
        <v>937</v>
      </c>
      <c r="E96" s="298">
        <v>19835</v>
      </c>
      <c r="F96" s="298">
        <v>20000</v>
      </c>
      <c r="G96" s="298">
        <v>20000</v>
      </c>
      <c r="H96" s="298">
        <v>20000</v>
      </c>
      <c r="I96" s="298">
        <v>22800</v>
      </c>
      <c r="J96" s="298">
        <v>26075</v>
      </c>
      <c r="K96" s="298">
        <v>26075</v>
      </c>
      <c r="L96" s="298">
        <f t="shared" si="24"/>
        <v>100</v>
      </c>
      <c r="M96" s="297" t="s">
        <v>951</v>
      </c>
      <c r="N96" s="583" t="e">
        <f>SUM(#REF!,#REF!,#REF!,#REF!,#REF!,#REF!,#REF!,#REF!,#REF!,#REF!,#REF!,#REF!,#REF!,#REF!,#REF!,#REF!,#REF!,E10,E34,#REF!,E59,E84,E108,#REF!)</f>
        <v>#REF!</v>
      </c>
      <c r="O96" s="583">
        <f>SUM(H13+H36+H57+H76+H96+H114)</f>
        <v>308410</v>
      </c>
      <c r="P96" s="583" t="e">
        <f>SUM(#REF!+#REF!+#REF!+#REF!+#REF!+#REF!+#REF!+#REF!)</f>
        <v>#REF!</v>
      </c>
      <c r="Q96" s="583" t="e">
        <f>SUM(#REF!+#REF!+#REF!+#REF!+#REF!+#REF!+#REF!+#REF!)</f>
        <v>#REF!</v>
      </c>
      <c r="R96" s="583" t="e">
        <f>SUM(#REF!+#REF!+#REF!+#REF!+#REF!+#REF!+#REF!+#REF!)</f>
        <v>#REF!</v>
      </c>
      <c r="S96" s="583">
        <f t="shared" si="35"/>
        <v>442256</v>
      </c>
      <c r="T96" s="583">
        <f t="shared" si="35"/>
        <v>420756</v>
      </c>
      <c r="U96" s="583">
        <f t="shared" si="35"/>
        <v>415579</v>
      </c>
      <c r="V96" s="419"/>
      <c r="W96" s="322"/>
    </row>
    <row r="97" spans="1:25" ht="16.5">
      <c r="A97" s="284"/>
      <c r="B97" s="540"/>
      <c r="C97" s="350" t="s">
        <v>864</v>
      </c>
      <c r="D97" s="297" t="s">
        <v>932</v>
      </c>
      <c r="E97" s="298">
        <v>8092</v>
      </c>
      <c r="F97" s="298">
        <v>10134</v>
      </c>
      <c r="G97" s="298">
        <v>11732</v>
      </c>
      <c r="H97" s="298">
        <v>8884</v>
      </c>
      <c r="I97" s="298">
        <v>6634</v>
      </c>
      <c r="J97" s="298">
        <v>7096</v>
      </c>
      <c r="K97" s="298">
        <v>7096</v>
      </c>
      <c r="L97" s="298">
        <f t="shared" si="24"/>
        <v>100</v>
      </c>
      <c r="M97" s="297" t="s">
        <v>932</v>
      </c>
      <c r="N97" s="583" t="e">
        <f>SUM(#REF!,#REF!,#REF!,#REF!,#REF!,#REF!,#REF!,#REF!,#REF!,#REF!,#REF!,#REF!,#REF!,#REF!,#REF!,#REF!,#REF!,E11,E35,#REF!,E60,E85,E109,E168)</f>
        <v>#REF!</v>
      </c>
      <c r="O97" s="583">
        <f>SUM(H14+H37+H58+H77+H97+H115)</f>
        <v>18339</v>
      </c>
      <c r="P97" s="585" t="e">
        <f>SUM(#REF!+#REF!+#REF!+#REF!+#REF!+#REF!+#REF!+#REF!)</f>
        <v>#REF!</v>
      </c>
      <c r="Q97" s="585" t="e">
        <f>SUM(#REF!+#REF!+#REF!+#REF!+#REF!+#REF!+#REF!+#REF!)</f>
        <v>#REF!</v>
      </c>
      <c r="R97" s="585" t="e">
        <f>SUM(#REF!+#REF!+#REF!+#REF!+#REF!+#REF!+#REF!+#REF!)</f>
        <v>#REF!</v>
      </c>
      <c r="S97" s="585">
        <f t="shared" si="35"/>
        <v>82049</v>
      </c>
      <c r="T97" s="585">
        <f>SUM(J14+J37+J58+J77+J97+J115+J134+J153)</f>
        <v>144500</v>
      </c>
      <c r="U97" s="585">
        <f t="shared" si="35"/>
        <v>144500</v>
      </c>
      <c r="V97" s="322"/>
      <c r="W97" s="322"/>
    </row>
    <row r="98" spans="1:25" ht="16.5">
      <c r="A98" s="284"/>
      <c r="B98" s="540"/>
      <c r="C98" s="350" t="s">
        <v>390</v>
      </c>
      <c r="D98" s="297" t="s">
        <v>933</v>
      </c>
      <c r="E98" s="298"/>
      <c r="F98" s="298"/>
      <c r="G98" s="298"/>
      <c r="H98" s="298">
        <v>0</v>
      </c>
      <c r="I98" s="298"/>
      <c r="J98" s="298"/>
      <c r="K98" s="298"/>
      <c r="L98" s="298" t="e">
        <f t="shared" si="24"/>
        <v>#DIV/0!</v>
      </c>
      <c r="M98" s="297" t="s">
        <v>933</v>
      </c>
      <c r="N98" s="583" t="e">
        <f>SUM(#REF!,#REF!,#REF!,#REF!,#REF!,#REF!,#REF!,#REF!,#REF!,#REF!,#REF!,#REF!,#REF!,#REF!,#REF!,#REF!,E12,E36,#REF!,E62,E86,E110,E169)</f>
        <v>#REF!</v>
      </c>
      <c r="O98" s="583">
        <f>SUM(H15+H38+H59+H78+H98+H116)</f>
        <v>0</v>
      </c>
      <c r="P98" s="585" t="e">
        <f>SUM(#REF!+#REF!+#REF!+#REF!+#REF!+#REF!+#REF!+#REF!)</f>
        <v>#REF!</v>
      </c>
      <c r="Q98" s="585" t="e">
        <f>SUM(#REF!+#REF!+#REF!+#REF!+#REF!+#REF!+#REF!+#REF!)</f>
        <v>#REF!</v>
      </c>
      <c r="R98" s="585" t="e">
        <f>SUM(#REF!+#REF!+#REF!+#REF!+#REF!+#REF!+#REF!+#REF!)</f>
        <v>#REF!</v>
      </c>
      <c r="S98" s="585">
        <f t="shared" si="35"/>
        <v>0</v>
      </c>
      <c r="T98" s="585">
        <f t="shared" si="35"/>
        <v>3405</v>
      </c>
      <c r="U98" s="585">
        <f t="shared" si="35"/>
        <v>3405</v>
      </c>
      <c r="W98" s="322"/>
      <c r="X98" s="322"/>
    </row>
    <row r="99" spans="1:25" ht="16.5">
      <c r="A99" s="284"/>
      <c r="B99" s="540"/>
      <c r="C99" s="350"/>
      <c r="D99" s="545" t="s">
        <v>873</v>
      </c>
      <c r="E99" s="546">
        <f t="shared" ref="E99:I99" si="38">SUM(E92+E94+E93)</f>
        <v>27927</v>
      </c>
      <c r="F99" s="546">
        <f t="shared" si="38"/>
        <v>30134</v>
      </c>
      <c r="G99" s="546">
        <f t="shared" si="38"/>
        <v>31734</v>
      </c>
      <c r="H99" s="546">
        <f t="shared" si="38"/>
        <v>28884</v>
      </c>
      <c r="I99" s="546">
        <f t="shared" si="38"/>
        <v>29434</v>
      </c>
      <c r="J99" s="546">
        <f t="shared" ref="J99:K99" si="39">SUM(J92+J94+J93)</f>
        <v>33171</v>
      </c>
      <c r="K99" s="546">
        <f t="shared" si="39"/>
        <v>33171</v>
      </c>
      <c r="L99" s="546">
        <f t="shared" si="24"/>
        <v>100</v>
      </c>
      <c r="M99" s="342" t="s">
        <v>934</v>
      </c>
      <c r="N99" s="583"/>
      <c r="O99" s="583"/>
      <c r="P99" s="583"/>
      <c r="Q99" s="583" t="e">
        <f>#REF!</f>
        <v>#REF!</v>
      </c>
      <c r="R99" s="583" t="e">
        <f>#REF!</f>
        <v>#REF!</v>
      </c>
      <c r="S99" s="583">
        <f>I17</f>
        <v>0</v>
      </c>
      <c r="T99" s="583">
        <f t="shared" ref="T99:U99" si="40">J17</f>
        <v>0</v>
      </c>
      <c r="U99" s="583">
        <f t="shared" si="40"/>
        <v>-14223</v>
      </c>
      <c r="W99" s="322"/>
    </row>
    <row r="100" spans="1:25" ht="16.5" customHeight="1">
      <c r="A100" s="284"/>
      <c r="B100" s="535" t="s">
        <v>5</v>
      </c>
      <c r="C100" s="351"/>
      <c r="D100" s="1959" t="s">
        <v>197</v>
      </c>
      <c r="E100" s="1959"/>
      <c r="F100" s="1959"/>
      <c r="G100" s="1959"/>
      <c r="H100" s="1959"/>
      <c r="I100" s="298"/>
      <c r="J100" s="298"/>
      <c r="K100" s="298"/>
      <c r="L100" s="298"/>
      <c r="M100" s="342" t="s">
        <v>438</v>
      </c>
      <c r="Q100" s="583" t="e">
        <f>#REF!+#REF!</f>
        <v>#REF!</v>
      </c>
      <c r="R100" s="583" t="e">
        <f>#REF!+#REF!</f>
        <v>#REF!</v>
      </c>
      <c r="S100" s="583">
        <f>I18+I79</f>
        <v>0</v>
      </c>
      <c r="T100" s="583">
        <f t="shared" ref="T100:U100" si="41">J18+J79</f>
        <v>24012</v>
      </c>
      <c r="U100" s="583">
        <f t="shared" si="41"/>
        <v>24012</v>
      </c>
      <c r="V100" s="322"/>
      <c r="W100" s="322"/>
    </row>
    <row r="101" spans="1:25" ht="16.5" customHeight="1">
      <c r="A101" s="284"/>
      <c r="B101" s="535"/>
      <c r="C101" s="351"/>
      <c r="D101" s="538"/>
      <c r="E101" s="538"/>
      <c r="F101" s="538"/>
      <c r="G101" s="538"/>
      <c r="H101" s="538"/>
      <c r="I101" s="298"/>
      <c r="J101" s="298"/>
      <c r="K101" s="298"/>
      <c r="L101" s="298"/>
      <c r="M101" s="342" t="s">
        <v>1256</v>
      </c>
      <c r="Q101" s="583"/>
      <c r="R101" s="583"/>
      <c r="S101" s="583">
        <f>I19</f>
        <v>0</v>
      </c>
      <c r="T101" s="583">
        <f t="shared" ref="T101:U101" si="42">J19</f>
        <v>0</v>
      </c>
      <c r="U101" s="583">
        <f t="shared" si="42"/>
        <v>0</v>
      </c>
      <c r="V101" s="322"/>
      <c r="W101" s="322"/>
    </row>
    <row r="102" spans="1:25" ht="16.5">
      <c r="A102" s="284"/>
      <c r="B102" s="540"/>
      <c r="C102" s="351" t="s">
        <v>6</v>
      </c>
      <c r="D102" s="297" t="s">
        <v>508</v>
      </c>
      <c r="E102" s="298">
        <v>17861</v>
      </c>
      <c r="F102" s="298">
        <v>18148</v>
      </c>
      <c r="G102" s="298">
        <v>19341</v>
      </c>
      <c r="H102" s="298">
        <v>17173</v>
      </c>
      <c r="I102" s="298">
        <v>19012</v>
      </c>
      <c r="J102" s="298">
        <v>21012</v>
      </c>
      <c r="K102" s="298">
        <v>21012</v>
      </c>
      <c r="L102" s="298">
        <f t="shared" si="24"/>
        <v>100</v>
      </c>
      <c r="M102" s="545" t="s">
        <v>873</v>
      </c>
      <c r="N102" s="586" t="e">
        <f>SUM(N91:N94)</f>
        <v>#REF!</v>
      </c>
      <c r="O102" s="586">
        <f>SUM(O91+O92+O94)</f>
        <v>337564</v>
      </c>
      <c r="P102" s="586" t="e">
        <f>SUM(P91+P92+P94)</f>
        <v>#REF!</v>
      </c>
      <c r="Q102" s="586" t="e">
        <f>SUM(Q91+Q92+Q94)</f>
        <v>#REF!</v>
      </c>
      <c r="R102" s="586" t="e">
        <f>SUM(R91+R92+R94+R99+R100)</f>
        <v>#REF!</v>
      </c>
      <c r="S102" s="586">
        <f>SUM(S91+S92+S94+S99+S100+S93)</f>
        <v>543455</v>
      </c>
      <c r="T102" s="586">
        <f t="shared" ref="T102" si="43">SUM(T91+T92+T94+T99+T100+T93)</f>
        <v>614582</v>
      </c>
      <c r="U102" s="586">
        <f>SUM(U91+U92+U94+U99+U100+U93)+U101</f>
        <v>596565</v>
      </c>
      <c r="W102" s="322"/>
    </row>
    <row r="103" spans="1:25" ht="16.5">
      <c r="A103" s="284"/>
      <c r="B103" s="540"/>
      <c r="C103" s="351" t="s">
        <v>8</v>
      </c>
      <c r="D103" s="297" t="s">
        <v>509</v>
      </c>
      <c r="E103" s="298">
        <v>5645</v>
      </c>
      <c r="F103" s="298">
        <v>5679</v>
      </c>
      <c r="G103" s="298">
        <v>6008</v>
      </c>
      <c r="H103" s="298">
        <v>5372</v>
      </c>
      <c r="I103" s="298">
        <v>5190</v>
      </c>
      <c r="J103" s="298">
        <v>4708</v>
      </c>
      <c r="K103" s="298">
        <v>4708</v>
      </c>
      <c r="L103" s="298">
        <f t="shared" si="24"/>
        <v>100</v>
      </c>
      <c r="M103" s="548" t="s">
        <v>197</v>
      </c>
      <c r="N103" s="583"/>
      <c r="O103" s="583"/>
      <c r="P103" s="585"/>
      <c r="Q103" s="585"/>
      <c r="R103" s="585"/>
      <c r="S103" s="585"/>
      <c r="T103" s="585"/>
      <c r="U103" s="585"/>
      <c r="W103" s="322"/>
      <c r="X103" s="322"/>
      <c r="Y103" s="322"/>
    </row>
    <row r="104" spans="1:25" ht="16.5">
      <c r="A104" s="284"/>
      <c r="B104" s="540"/>
      <c r="C104" s="351" t="s">
        <v>10</v>
      </c>
      <c r="D104" s="297" t="s">
        <v>201</v>
      </c>
      <c r="E104" s="298">
        <v>4421</v>
      </c>
      <c r="F104" s="298">
        <v>6307</v>
      </c>
      <c r="G104" s="298">
        <v>6385</v>
      </c>
      <c r="H104" s="298">
        <v>6339</v>
      </c>
      <c r="I104" s="298">
        <v>5232</v>
      </c>
      <c r="J104" s="298">
        <v>6428</v>
      </c>
      <c r="K104" s="298">
        <v>6428</v>
      </c>
      <c r="L104" s="298">
        <f t="shared" si="24"/>
        <v>100</v>
      </c>
      <c r="M104" s="342" t="s">
        <v>508</v>
      </c>
      <c r="N104" s="587" t="e">
        <f>SUM(E172+E113+E89+E65+#REF!+E39+E15+#REF!+#REF!+#REF!+#REF!+#REF!+#REF!+#REF!+#REF!+#REF!+#REF!+#REF!+#REF!+#REF!+#REF!+#REF!+#REF!+#REF!+#REF!+#REF!+#REF!+#REF!+#REF!+#REF!+#REF!+#REF!+#REF!+#REF!+#REF!+#REF!+#REF!+#REF!+#REF!+#REF!+#REF!+#REF!+#REF!+#REF!+#REF!+#REF!)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O104" s="587">
        <f>SUM(H22+H41+H62+H82+H102+H119)</f>
        <v>132408</v>
      </c>
      <c r="P104" s="587" t="e">
        <f>SUM(#REF!+#REF!+#REF!+#REF!+#REF!+#REF!+#REF!+#REF!)</f>
        <v>#REF!</v>
      </c>
      <c r="Q104" s="587" t="e">
        <f>SUM(#REF!+#REF!+#REF!+#REF!+#REF!+#REF!+#REF!+#REF!)</f>
        <v>#REF!</v>
      </c>
      <c r="R104" s="587" t="e">
        <f>SUM(#REF!+#REF!+#REF!+#REF!+#REF!+#REF!+#REF!+#REF!)</f>
        <v>#REF!</v>
      </c>
      <c r="S104" s="587">
        <f t="shared" ref="S104:U105" si="44">SUM(I22+I41+I62+I82+I102+I119+I138+I157)</f>
        <v>168529</v>
      </c>
      <c r="T104" s="587">
        <f t="shared" si="44"/>
        <v>187434</v>
      </c>
      <c r="U104" s="587">
        <f t="shared" si="44"/>
        <v>166562</v>
      </c>
    </row>
    <row r="105" spans="1:25" ht="16.5">
      <c r="A105" s="284"/>
      <c r="B105" s="540"/>
      <c r="C105" s="351" t="s">
        <v>12</v>
      </c>
      <c r="D105" s="297" t="s">
        <v>882</v>
      </c>
      <c r="E105" s="298"/>
      <c r="F105" s="298"/>
      <c r="G105" s="298"/>
      <c r="H105" s="298"/>
      <c r="I105" s="298"/>
      <c r="J105" s="298">
        <v>1023</v>
      </c>
      <c r="K105" s="298">
        <v>1023</v>
      </c>
      <c r="L105" s="298">
        <f t="shared" si="24"/>
        <v>100</v>
      </c>
      <c r="M105" s="342" t="s">
        <v>509</v>
      </c>
      <c r="N105" s="583"/>
      <c r="O105" s="583">
        <f>SUM(H23+H42+H63+H83+H103+H120)</f>
        <v>40789</v>
      </c>
      <c r="P105" s="583" t="e">
        <f>SUM(#REF!+#REF!+#REF!+#REF!+#REF!+#REF!+#REF!+#REF!)</f>
        <v>#REF!</v>
      </c>
      <c r="Q105" s="583" t="e">
        <f>SUM(#REF!+#REF!+#REF!+#REF!+#REF!+#REF!+#REF!+#REF!)</f>
        <v>#REF!</v>
      </c>
      <c r="R105" s="583" t="e">
        <f>SUM(#REF!+#REF!+#REF!+#REF!+#REF!+#REF!+#REF!+#REF!)</f>
        <v>#REF!</v>
      </c>
      <c r="S105" s="583">
        <f t="shared" si="44"/>
        <v>49730</v>
      </c>
      <c r="T105" s="583">
        <f t="shared" si="44"/>
        <v>48936</v>
      </c>
      <c r="U105" s="583">
        <f t="shared" si="44"/>
        <v>44261</v>
      </c>
    </row>
    <row r="106" spans="1:25" ht="16.5">
      <c r="A106" s="284"/>
      <c r="B106" s="540"/>
      <c r="C106" s="351"/>
      <c r="D106" s="547" t="s">
        <v>884</v>
      </c>
      <c r="E106" s="546">
        <f t="shared" ref="E106:I106" si="45">SUM(E102:E105)</f>
        <v>27927</v>
      </c>
      <c r="F106" s="546">
        <f t="shared" si="45"/>
        <v>30134</v>
      </c>
      <c r="G106" s="546">
        <f t="shared" si="45"/>
        <v>31734</v>
      </c>
      <c r="H106" s="546">
        <f t="shared" si="45"/>
        <v>28884</v>
      </c>
      <c r="I106" s="546">
        <f t="shared" si="45"/>
        <v>29434</v>
      </c>
      <c r="J106" s="546">
        <f t="shared" ref="J106:K106" si="46">SUM(J102:J105)</f>
        <v>33171</v>
      </c>
      <c r="K106" s="546">
        <f t="shared" si="46"/>
        <v>33171</v>
      </c>
      <c r="L106" s="546">
        <f t="shared" si="24"/>
        <v>100</v>
      </c>
      <c r="M106" s="342" t="s">
        <v>201</v>
      </c>
      <c r="N106" s="583"/>
      <c r="O106" s="583">
        <f>SUM(H121+H104+H84+H64+H43+H24)</f>
        <v>164367</v>
      </c>
      <c r="P106" s="583" t="e">
        <f>SUM(#REF!+#REF!+#REF!+#REF!+#REF!+#REF!+#REF!+#REF!)</f>
        <v>#REF!</v>
      </c>
      <c r="Q106" s="583" t="e">
        <f>SUM(#REF!+#REF!+#REF!+#REF!+#REF!+#REF!+#REF!+#REF!)</f>
        <v>#REF!</v>
      </c>
      <c r="R106" s="583" t="e">
        <f>SUM(#REF!+#REF!+#REF!+#REF!+#REF!+#REF!+#REF!+#REF!)</f>
        <v>#REF!</v>
      </c>
      <c r="S106" s="583">
        <f>SUM(I121+I104+I84+I64+I43+I24+I140+I159)</f>
        <v>325196</v>
      </c>
      <c r="T106" s="583">
        <f>SUM(J121+J104+J84+J64+J43+J24+J140+J159)</f>
        <v>366908</v>
      </c>
      <c r="U106" s="583">
        <f>SUM(K121+K104+K84+K64+K43+K24+K140+K159)</f>
        <v>366302</v>
      </c>
      <c r="W106" s="322"/>
      <c r="X106" s="322"/>
      <c r="Y106" s="322"/>
    </row>
    <row r="107" spans="1:25" ht="16.5">
      <c r="A107" s="284"/>
      <c r="B107" s="535" t="s">
        <v>19</v>
      </c>
      <c r="C107" s="280"/>
      <c r="D107" s="548" t="s">
        <v>885</v>
      </c>
      <c r="E107" s="410">
        <v>7.5</v>
      </c>
      <c r="F107" s="410">
        <v>7.5</v>
      </c>
      <c r="G107" s="410">
        <v>7.5</v>
      </c>
      <c r="H107" s="410">
        <v>7</v>
      </c>
      <c r="I107" s="410">
        <v>7</v>
      </c>
      <c r="J107" s="410">
        <v>7</v>
      </c>
      <c r="K107" s="410">
        <v>7</v>
      </c>
      <c r="L107" s="410"/>
      <c r="M107" s="342" t="s">
        <v>881</v>
      </c>
      <c r="N107" s="587" t="e">
        <f>SUM(#REF!,#REF!,#REF!,#REF!,#REF!,#REF!,#REF!,#REF!,#REF!,#REF!,#REF!,#REF!,#REF!,#REF!,E22,E42,#REF!,E68,E92,E116,E176,#REF!)</f>
        <v>#REF!</v>
      </c>
      <c r="O107" s="587">
        <f>SUM(H25+H44+H65+H85)</f>
        <v>0</v>
      </c>
      <c r="P107" s="587" t="e">
        <f>SUM(#REF!+#REF!+#REF!+#REF!+#REF!+#REF!)</f>
        <v>#REF!</v>
      </c>
      <c r="Q107" s="587" t="e">
        <f>SUM(#REF!+#REF!+#REF!+#REF!+#REF!+#REF!)</f>
        <v>#REF!</v>
      </c>
      <c r="R107" s="587" t="e">
        <f>SUM(#REF!+#REF!+#REF!+#REF!+#REF!+#REF!)</f>
        <v>#REF!</v>
      </c>
      <c r="S107" s="587">
        <f>SUM(I25+I44+I65+I85+I141+I160)</f>
        <v>0</v>
      </c>
      <c r="T107" s="587">
        <f>SUM(J25+J44+J65+J85+J141+J160)</f>
        <v>611</v>
      </c>
      <c r="U107" s="587">
        <f>SUM(K25+K44+K65+K85+K141+K160)</f>
        <v>611</v>
      </c>
    </row>
    <row r="108" spans="1:25" ht="17.25">
      <c r="A108" s="534"/>
      <c r="B108" s="535"/>
      <c r="C108" s="279"/>
      <c r="D108" s="574" t="s">
        <v>952</v>
      </c>
      <c r="E108" s="575"/>
      <c r="F108" s="575"/>
      <c r="G108" s="575"/>
      <c r="H108" s="575"/>
      <c r="I108" s="576"/>
      <c r="J108" s="576"/>
      <c r="K108" s="576"/>
      <c r="L108" s="576"/>
      <c r="M108" s="342" t="s">
        <v>882</v>
      </c>
      <c r="N108" s="587" t="e">
        <f>SUM(#REF!,#REF!,#REF!,#REF!,#REF!,#REF!,#REF!,#REF!,#REF!,#REF!,#REF!,#REF!,#REF!,#REF!,E23,E43,#REF!,E69,E93,E117,E165,#REF!)</f>
        <v>#REF!</v>
      </c>
      <c r="O108" s="587">
        <f>SUM(H122+H105+H86+H66+H45+H26)</f>
        <v>0</v>
      </c>
      <c r="P108" s="587" t="e">
        <f>SUM(#REF!+#REF!+#REF!+#REF!+#REF!+#REF!+#REF!+#REF!)</f>
        <v>#REF!</v>
      </c>
      <c r="Q108" s="587" t="e">
        <f>SUM(#REF!+#REF!+#REF!+#REF!+#REF!+#REF!+#REF!+#REF!)</f>
        <v>#REF!</v>
      </c>
      <c r="R108" s="587" t="e">
        <f>SUM(#REF!+#REF!+#REF!+#REF!+#REF!+#REF!+#REF!+#REF!)</f>
        <v>#REF!</v>
      </c>
      <c r="S108" s="587">
        <f>SUM(I122+I105+I86+I66+I45+I26+I142+I161)</f>
        <v>0</v>
      </c>
      <c r="T108" s="587">
        <f>SUM(J122+J105+J86+J66+J45+J26+J142+J161)</f>
        <v>10693</v>
      </c>
      <c r="U108" s="587">
        <f>SUM(K122+K105+K86+K66+K45+K26+K142+K161)</f>
        <v>10693</v>
      </c>
    </row>
    <row r="109" spans="1:25" ht="16.5" customHeight="1">
      <c r="A109" s="284"/>
      <c r="B109" s="535" t="s">
        <v>4</v>
      </c>
      <c r="C109" s="350"/>
      <c r="D109" s="1959" t="s">
        <v>196</v>
      </c>
      <c r="E109" s="1959"/>
      <c r="F109" s="1959"/>
      <c r="G109" s="1959"/>
      <c r="H109" s="1959"/>
      <c r="I109" s="298"/>
      <c r="J109" s="298"/>
      <c r="K109" s="298"/>
      <c r="L109" s="298"/>
      <c r="M109" s="342" t="s">
        <v>935</v>
      </c>
      <c r="N109" s="587" t="e">
        <f>SUM(#REF!,#REF!,#REF!,#REF!,#REF!,#REF!,#REF!,#REF!,#REF!,#REF!,#REF!,#REF!,#REF!,#REF!,E24,E45,#REF!,E70,E94,E118,E166,#REF!)</f>
        <v>#REF!</v>
      </c>
      <c r="O109" s="587"/>
      <c r="P109" s="587" t="e">
        <f>#REF!+#REF!+#REF!+#REF!+#REF!+#REF!</f>
        <v>#REF!</v>
      </c>
      <c r="Q109" s="587" t="e">
        <f>#REF!+#REF!+#REF!+#REF!+#REF!+#REF!</f>
        <v>#REF!</v>
      </c>
      <c r="R109" s="587" t="e">
        <f>#REF!+#REF!+#REF!+#REF!+#REF!+#REF!</f>
        <v>#REF!</v>
      </c>
      <c r="S109" s="587">
        <f>I27+I46+I67+I87+I143+I162</f>
        <v>0</v>
      </c>
      <c r="T109" s="587">
        <f>J27+J46+J67+J87+J143+J162</f>
        <v>0</v>
      </c>
      <c r="U109" s="587">
        <f>K27+K46+K67+K87+K143+K162</f>
        <v>18602</v>
      </c>
    </row>
    <row r="110" spans="1:25" ht="16.5">
      <c r="A110" s="284"/>
      <c r="B110" s="540"/>
      <c r="C110" s="279" t="s">
        <v>102</v>
      </c>
      <c r="D110" s="297" t="s">
        <v>850</v>
      </c>
      <c r="E110" s="298"/>
      <c r="F110" s="298"/>
      <c r="G110" s="298">
        <v>2</v>
      </c>
      <c r="H110" s="308">
        <v>0</v>
      </c>
      <c r="I110" s="298">
        <v>1800</v>
      </c>
      <c r="J110" s="298">
        <v>1991</v>
      </c>
      <c r="K110" s="298">
        <v>1991</v>
      </c>
      <c r="L110" s="298">
        <f t="shared" si="24"/>
        <v>100</v>
      </c>
      <c r="M110" s="547" t="s">
        <v>953</v>
      </c>
      <c r="N110" s="546" t="e">
        <f>SUM(N104,#REF!,#REF!,#REF!,N107,N108,N109)</f>
        <v>#REF!</v>
      </c>
      <c r="O110" s="546"/>
      <c r="P110" s="546"/>
      <c r="Q110" s="546"/>
      <c r="R110" s="546"/>
      <c r="S110" s="546"/>
      <c r="T110" s="546"/>
      <c r="U110" s="546"/>
    </row>
    <row r="111" spans="1:25" ht="16.5">
      <c r="A111" s="284"/>
      <c r="B111" s="540"/>
      <c r="C111" s="279" t="s">
        <v>104</v>
      </c>
      <c r="D111" s="584" t="s">
        <v>954</v>
      </c>
      <c r="E111" s="298">
        <v>0</v>
      </c>
      <c r="F111" s="298">
        <v>0</v>
      </c>
      <c r="G111" s="298">
        <v>0</v>
      </c>
      <c r="H111" s="308"/>
      <c r="I111" s="298"/>
      <c r="J111" s="298"/>
      <c r="K111" s="298"/>
      <c r="L111" s="298" t="e">
        <f t="shared" si="24"/>
        <v>#DIV/0!</v>
      </c>
      <c r="M111" s="547" t="s">
        <v>884</v>
      </c>
      <c r="N111" s="546" t="e">
        <f>SUM(N105,#REF!,#REF!,#REF!,N108,N109,N110)</f>
        <v>#REF!</v>
      </c>
      <c r="O111" s="546">
        <f t="shared" ref="O111:S111" si="47">SUM(O104:O110)</f>
        <v>337564</v>
      </c>
      <c r="P111" s="546" t="e">
        <f t="shared" si="47"/>
        <v>#REF!</v>
      </c>
      <c r="Q111" s="546" t="e">
        <f t="shared" si="47"/>
        <v>#REF!</v>
      </c>
      <c r="R111" s="546" t="e">
        <f t="shared" si="47"/>
        <v>#REF!</v>
      </c>
      <c r="S111" s="546">
        <f t="shared" si="47"/>
        <v>543455</v>
      </c>
      <c r="T111" s="546">
        <f t="shared" ref="T111:U111" si="48">SUM(T104:T110)</f>
        <v>614582</v>
      </c>
      <c r="U111" s="546">
        <f t="shared" si="48"/>
        <v>607031</v>
      </c>
      <c r="W111" s="322"/>
    </row>
    <row r="112" spans="1:25" ht="16.5">
      <c r="A112" s="284"/>
      <c r="B112" s="540"/>
      <c r="C112" s="279" t="s">
        <v>106</v>
      </c>
      <c r="D112" s="297" t="s">
        <v>852</v>
      </c>
      <c r="E112" s="298">
        <f t="shared" ref="E112:I112" si="49">SUM(E113+E116)</f>
        <v>27927</v>
      </c>
      <c r="F112" s="298">
        <f t="shared" si="49"/>
        <v>30134</v>
      </c>
      <c r="G112" s="298">
        <f t="shared" si="49"/>
        <v>31732</v>
      </c>
      <c r="H112" s="308">
        <f t="shared" si="49"/>
        <v>0</v>
      </c>
      <c r="I112" s="298">
        <f t="shared" si="49"/>
        <v>26394</v>
      </c>
      <c r="J112" s="298">
        <f t="shared" ref="J112:K112" si="50">SUM(J113+J116)</f>
        <v>28362</v>
      </c>
      <c r="K112" s="298">
        <f t="shared" si="50"/>
        <v>28362</v>
      </c>
      <c r="L112" s="298">
        <f t="shared" si="24"/>
        <v>100</v>
      </c>
      <c r="M112" s="588" t="s">
        <v>955</v>
      </c>
      <c r="O112" s="322">
        <f>SUM(H167)</f>
        <v>69</v>
      </c>
      <c r="P112" s="322" t="e">
        <f>SUM(#REF!)</f>
        <v>#REF!</v>
      </c>
      <c r="Q112" s="322" t="e">
        <f>SUM(#REF!)</f>
        <v>#REF!</v>
      </c>
      <c r="R112" s="322" t="e">
        <f>SUM(#REF!)</f>
        <v>#REF!</v>
      </c>
      <c r="S112" s="322">
        <f>SUM(I167)</f>
        <v>73</v>
      </c>
      <c r="T112" s="322">
        <f t="shared" ref="T112:U112" si="51">SUM(J167)</f>
        <v>73</v>
      </c>
      <c r="U112" s="322">
        <f t="shared" si="51"/>
        <v>73</v>
      </c>
    </row>
    <row r="113" spans="1:12" ht="16.5">
      <c r="A113" s="541"/>
      <c r="B113" s="542"/>
      <c r="C113" s="304" t="s">
        <v>389</v>
      </c>
      <c r="D113" s="301" t="s">
        <v>853</v>
      </c>
      <c r="E113" s="302">
        <f t="shared" ref="E113:I113" si="52">SUM(E114:E115)</f>
        <v>27927</v>
      </c>
      <c r="F113" s="302">
        <f t="shared" si="52"/>
        <v>30134</v>
      </c>
      <c r="G113" s="302">
        <f t="shared" si="52"/>
        <v>31732</v>
      </c>
      <c r="H113" s="577">
        <f t="shared" si="52"/>
        <v>0</v>
      </c>
      <c r="I113" s="302">
        <f t="shared" si="52"/>
        <v>26394</v>
      </c>
      <c r="J113" s="302">
        <f t="shared" ref="J113:K113" si="53">SUM(J114:J115)</f>
        <v>28154</v>
      </c>
      <c r="K113" s="302">
        <f t="shared" si="53"/>
        <v>28154</v>
      </c>
      <c r="L113" s="302">
        <f t="shared" si="24"/>
        <v>100</v>
      </c>
    </row>
    <row r="114" spans="1:12" ht="16.5">
      <c r="A114" s="284"/>
      <c r="B114" s="540"/>
      <c r="C114" s="350" t="s">
        <v>854</v>
      </c>
      <c r="D114" s="297" t="s">
        <v>937</v>
      </c>
      <c r="E114" s="298">
        <v>19835</v>
      </c>
      <c r="F114" s="298">
        <v>20000</v>
      </c>
      <c r="G114" s="298">
        <v>20000</v>
      </c>
      <c r="H114" s="308"/>
      <c r="I114" s="298"/>
      <c r="J114" s="298"/>
      <c r="K114" s="298"/>
      <c r="L114" s="298" t="e">
        <f t="shared" si="24"/>
        <v>#DIV/0!</v>
      </c>
    </row>
    <row r="115" spans="1:12" ht="16.5">
      <c r="A115" s="284"/>
      <c r="B115" s="540"/>
      <c r="C115" s="350" t="s">
        <v>864</v>
      </c>
      <c r="D115" s="297" t="s">
        <v>932</v>
      </c>
      <c r="E115" s="298">
        <v>8092</v>
      </c>
      <c r="F115" s="298">
        <v>10134</v>
      </c>
      <c r="G115" s="298">
        <v>11732</v>
      </c>
      <c r="H115" s="308"/>
      <c r="I115" s="298">
        <v>26394</v>
      </c>
      <c r="J115" s="298">
        <v>28154</v>
      </c>
      <c r="K115" s="298">
        <v>28154</v>
      </c>
      <c r="L115" s="298">
        <f t="shared" si="24"/>
        <v>100</v>
      </c>
    </row>
    <row r="116" spans="1:12" ht="16.5">
      <c r="A116" s="284"/>
      <c r="B116" s="540"/>
      <c r="C116" s="350" t="s">
        <v>390</v>
      </c>
      <c r="D116" s="297" t="s">
        <v>1779</v>
      </c>
      <c r="E116" s="298"/>
      <c r="F116" s="298"/>
      <c r="G116" s="298"/>
      <c r="H116" s="308">
        <v>0</v>
      </c>
      <c r="I116" s="298"/>
      <c r="J116" s="298">
        <v>208</v>
      </c>
      <c r="K116" s="298">
        <v>208</v>
      </c>
      <c r="L116" s="298">
        <f t="shared" si="24"/>
        <v>100</v>
      </c>
    </row>
    <row r="117" spans="1:12" ht="16.5">
      <c r="A117" s="284"/>
      <c r="B117" s="540"/>
      <c r="C117" s="350"/>
      <c r="D117" s="545" t="s">
        <v>873</v>
      </c>
      <c r="E117" s="546">
        <f t="shared" ref="E117:I117" si="54">SUM(E110+E112+E111)</f>
        <v>27927</v>
      </c>
      <c r="F117" s="546">
        <f t="shared" si="54"/>
        <v>30134</v>
      </c>
      <c r="G117" s="546">
        <f t="shared" si="54"/>
        <v>31734</v>
      </c>
      <c r="H117" s="578">
        <f t="shared" si="54"/>
        <v>0</v>
      </c>
      <c r="I117" s="546">
        <f t="shared" si="54"/>
        <v>28194</v>
      </c>
      <c r="J117" s="546">
        <f t="shared" ref="J117:K117" si="55">SUM(J110+J112+J111)</f>
        <v>30353</v>
      </c>
      <c r="K117" s="546">
        <f t="shared" si="55"/>
        <v>30353</v>
      </c>
      <c r="L117" s="546">
        <f t="shared" si="24"/>
        <v>100</v>
      </c>
    </row>
    <row r="118" spans="1:12" ht="16.5" customHeight="1">
      <c r="A118" s="284"/>
      <c r="B118" s="535" t="s">
        <v>5</v>
      </c>
      <c r="C118" s="351"/>
      <c r="D118" s="1959" t="s">
        <v>197</v>
      </c>
      <c r="E118" s="1959"/>
      <c r="F118" s="1959"/>
      <c r="G118" s="1959"/>
      <c r="H118" s="1959"/>
      <c r="I118" s="298"/>
      <c r="J118" s="298"/>
      <c r="K118" s="298"/>
      <c r="L118" s="298"/>
    </row>
    <row r="119" spans="1:12" ht="16.5">
      <c r="A119" s="284"/>
      <c r="B119" s="540"/>
      <c r="C119" s="351" t="s">
        <v>6</v>
      </c>
      <c r="D119" s="297" t="s">
        <v>508</v>
      </c>
      <c r="E119" s="298">
        <v>17861</v>
      </c>
      <c r="F119" s="298">
        <v>18148</v>
      </c>
      <c r="G119" s="298">
        <v>19341</v>
      </c>
      <c r="H119" s="308"/>
      <c r="I119" s="298">
        <v>10917</v>
      </c>
      <c r="J119" s="298">
        <v>10917</v>
      </c>
      <c r="K119" s="298">
        <v>10917</v>
      </c>
      <c r="L119" s="298">
        <f t="shared" si="24"/>
        <v>100</v>
      </c>
    </row>
    <row r="120" spans="1:12" ht="16.5">
      <c r="A120" s="284"/>
      <c r="B120" s="540"/>
      <c r="C120" s="351" t="s">
        <v>8</v>
      </c>
      <c r="D120" s="297" t="s">
        <v>509</v>
      </c>
      <c r="E120" s="298">
        <v>5645</v>
      </c>
      <c r="F120" s="298">
        <v>5679</v>
      </c>
      <c r="G120" s="298">
        <v>6008</v>
      </c>
      <c r="H120" s="308"/>
      <c r="I120" s="298">
        <v>2981</v>
      </c>
      <c r="J120" s="298">
        <v>2981</v>
      </c>
      <c r="K120" s="298">
        <v>2981</v>
      </c>
      <c r="L120" s="298">
        <f t="shared" si="24"/>
        <v>100</v>
      </c>
    </row>
    <row r="121" spans="1:12" ht="16.5">
      <c r="A121" s="284"/>
      <c r="B121" s="540"/>
      <c r="C121" s="351" t="s">
        <v>10</v>
      </c>
      <c r="D121" s="297" t="s">
        <v>201</v>
      </c>
      <c r="E121" s="298">
        <v>4421</v>
      </c>
      <c r="F121" s="298">
        <v>6307</v>
      </c>
      <c r="G121" s="298">
        <v>6385</v>
      </c>
      <c r="H121" s="308"/>
      <c r="I121" s="298">
        <v>14296</v>
      </c>
      <c r="J121" s="298">
        <v>12941</v>
      </c>
      <c r="K121" s="298">
        <v>12941</v>
      </c>
      <c r="L121" s="298">
        <f t="shared" si="24"/>
        <v>100</v>
      </c>
    </row>
    <row r="122" spans="1:12" ht="16.5">
      <c r="A122" s="284"/>
      <c r="B122" s="540"/>
      <c r="C122" s="351" t="s">
        <v>12</v>
      </c>
      <c r="D122" s="297" t="s">
        <v>882</v>
      </c>
      <c r="E122" s="298"/>
      <c r="F122" s="298"/>
      <c r="G122" s="298"/>
      <c r="H122" s="308"/>
      <c r="I122" s="298"/>
      <c r="J122" s="298">
        <v>3514</v>
      </c>
      <c r="K122" s="298">
        <v>3514</v>
      </c>
      <c r="L122" s="298">
        <f t="shared" si="24"/>
        <v>100</v>
      </c>
    </row>
    <row r="123" spans="1:12" ht="16.5">
      <c r="A123" s="284"/>
      <c r="B123" s="540"/>
      <c r="C123" s="351"/>
      <c r="D123" s="547" t="s">
        <v>884</v>
      </c>
      <c r="E123" s="546">
        <f t="shared" ref="E123:I123" si="56">SUM(E119:E122)</f>
        <v>27927</v>
      </c>
      <c r="F123" s="546">
        <f t="shared" si="56"/>
        <v>30134</v>
      </c>
      <c r="G123" s="546">
        <f t="shared" si="56"/>
        <v>31734</v>
      </c>
      <c r="H123" s="578">
        <f t="shared" si="56"/>
        <v>0</v>
      </c>
      <c r="I123" s="546">
        <f t="shared" si="56"/>
        <v>28194</v>
      </c>
      <c r="J123" s="546">
        <f t="shared" ref="J123:K123" si="57">SUM(J119:J122)</f>
        <v>30353</v>
      </c>
      <c r="K123" s="546">
        <f t="shared" si="57"/>
        <v>30353</v>
      </c>
      <c r="L123" s="546">
        <f t="shared" si="24"/>
        <v>100</v>
      </c>
    </row>
    <row r="124" spans="1:12" ht="16.5">
      <c r="A124" s="284"/>
      <c r="B124" s="535" t="s">
        <v>19</v>
      </c>
      <c r="C124" s="280"/>
      <c r="D124" s="548" t="s">
        <v>885</v>
      </c>
      <c r="E124" s="410">
        <v>7.5</v>
      </c>
      <c r="F124" s="410">
        <v>7.5</v>
      </c>
      <c r="G124" s="410">
        <v>7.5</v>
      </c>
      <c r="H124" s="308"/>
      <c r="I124" s="410">
        <v>0</v>
      </c>
      <c r="J124" s="410">
        <v>0</v>
      </c>
      <c r="K124" s="410">
        <v>0</v>
      </c>
      <c r="L124" s="410"/>
    </row>
    <row r="125" spans="1:12" ht="17.25">
      <c r="A125" s="534"/>
      <c r="B125" s="535"/>
      <c r="C125" s="279"/>
      <c r="D125" s="574" t="s">
        <v>956</v>
      </c>
      <c r="E125" s="575"/>
      <c r="F125" s="575"/>
      <c r="G125" s="575"/>
      <c r="H125" s="575"/>
      <c r="I125" s="576"/>
      <c r="J125" s="576"/>
      <c r="K125" s="576"/>
      <c r="L125" s="576"/>
    </row>
    <row r="126" spans="1:12" ht="16.5" customHeight="1">
      <c r="A126" s="284"/>
      <c r="B126" s="535" t="s">
        <v>4</v>
      </c>
      <c r="C126" s="350"/>
      <c r="D126" s="1959" t="s">
        <v>196</v>
      </c>
      <c r="E126" s="1959"/>
      <c r="F126" s="1959"/>
      <c r="G126" s="1959"/>
      <c r="H126" s="1959"/>
      <c r="I126" s="298"/>
      <c r="J126" s="298"/>
      <c r="K126" s="298"/>
      <c r="L126" s="298"/>
    </row>
    <row r="127" spans="1:12" ht="16.5">
      <c r="A127" s="284"/>
      <c r="B127" s="540"/>
      <c r="C127" s="279" t="s">
        <v>102</v>
      </c>
      <c r="D127" s="297" t="s">
        <v>850</v>
      </c>
      <c r="E127" s="298">
        <f t="shared" ref="E127:I127" si="58">SUM(E128:E129)</f>
        <v>2585</v>
      </c>
      <c r="F127" s="298">
        <f t="shared" si="58"/>
        <v>3074</v>
      </c>
      <c r="G127" s="298">
        <f t="shared" si="58"/>
        <v>3074</v>
      </c>
      <c r="H127" s="298">
        <f t="shared" si="58"/>
        <v>3934</v>
      </c>
      <c r="I127" s="298">
        <f t="shared" si="58"/>
        <v>0</v>
      </c>
      <c r="J127" s="298">
        <f t="shared" ref="J127:K127" si="59">SUM(J128:J129)</f>
        <v>0</v>
      </c>
      <c r="K127" s="298">
        <f t="shared" si="59"/>
        <v>0</v>
      </c>
      <c r="L127" s="298"/>
    </row>
    <row r="128" spans="1:12" ht="16.5">
      <c r="A128" s="284"/>
      <c r="B128" s="540"/>
      <c r="C128" s="350" t="s">
        <v>939</v>
      </c>
      <c r="D128" s="297" t="s">
        <v>26</v>
      </c>
      <c r="E128" s="298">
        <v>2154</v>
      </c>
      <c r="F128" s="298">
        <v>2647</v>
      </c>
      <c r="G128" s="298">
        <v>2647</v>
      </c>
      <c r="H128" s="298">
        <v>3278</v>
      </c>
      <c r="I128" s="298">
        <v>0</v>
      </c>
      <c r="J128" s="298"/>
      <c r="K128" s="298"/>
      <c r="L128" s="298"/>
    </row>
    <row r="129" spans="1:16" ht="16.5">
      <c r="A129" s="284"/>
      <c r="B129" s="540"/>
      <c r="C129" s="350" t="s">
        <v>186</v>
      </c>
      <c r="D129" s="297" t="s">
        <v>899</v>
      </c>
      <c r="E129" s="298">
        <v>431</v>
      </c>
      <c r="F129" s="298">
        <v>427</v>
      </c>
      <c r="G129" s="298">
        <v>427</v>
      </c>
      <c r="H129" s="298">
        <v>656</v>
      </c>
      <c r="I129" s="298"/>
      <c r="J129" s="298"/>
      <c r="K129" s="298"/>
      <c r="L129" s="298"/>
    </row>
    <row r="130" spans="1:16" ht="16.5">
      <c r="A130" s="284"/>
      <c r="B130" s="540"/>
      <c r="C130" s="279" t="s">
        <v>104</v>
      </c>
      <c r="D130" s="297" t="s">
        <v>851</v>
      </c>
      <c r="E130" s="298">
        <v>0</v>
      </c>
      <c r="F130" s="298">
        <v>0</v>
      </c>
      <c r="G130" s="298">
        <v>0</v>
      </c>
      <c r="H130" s="298"/>
      <c r="I130" s="298"/>
      <c r="J130" s="298"/>
      <c r="K130" s="298"/>
      <c r="L130" s="298"/>
    </row>
    <row r="131" spans="1:16" ht="16.5">
      <c r="A131" s="284"/>
      <c r="B131" s="540"/>
      <c r="C131" s="279" t="s">
        <v>106</v>
      </c>
      <c r="D131" s="297" t="s">
        <v>852</v>
      </c>
      <c r="E131" s="298">
        <f t="shared" ref="E131:I131" si="60">SUM(E132+E135)</f>
        <v>0</v>
      </c>
      <c r="F131" s="298">
        <f t="shared" si="60"/>
        <v>0</v>
      </c>
      <c r="G131" s="298">
        <f t="shared" si="60"/>
        <v>759</v>
      </c>
      <c r="H131" s="298">
        <f t="shared" si="60"/>
        <v>0</v>
      </c>
      <c r="I131" s="298">
        <f t="shared" si="60"/>
        <v>72435</v>
      </c>
      <c r="J131" s="298">
        <f t="shared" ref="J131:K131" si="61">SUM(J132+J135)</f>
        <v>93022</v>
      </c>
      <c r="K131" s="298">
        <f t="shared" si="61"/>
        <v>93022</v>
      </c>
      <c r="L131" s="298">
        <f t="shared" si="24"/>
        <v>100</v>
      </c>
    </row>
    <row r="132" spans="1:16" ht="16.5">
      <c r="A132" s="541"/>
      <c r="B132" s="542"/>
      <c r="C132" s="304" t="s">
        <v>389</v>
      </c>
      <c r="D132" s="301" t="s">
        <v>853</v>
      </c>
      <c r="E132" s="302">
        <f>SUM(E133:E134)</f>
        <v>0</v>
      </c>
      <c r="F132" s="302"/>
      <c r="G132" s="302">
        <f>SUM(G133:G134)</f>
        <v>499</v>
      </c>
      <c r="H132" s="302">
        <f>SUM(H133:H134)</f>
        <v>0</v>
      </c>
      <c r="I132" s="302">
        <f>SUM(I133:I134)</f>
        <v>72435</v>
      </c>
      <c r="J132" s="302">
        <f t="shared" ref="J132:K132" si="62">SUM(J133:J134)</f>
        <v>93022</v>
      </c>
      <c r="K132" s="302">
        <f t="shared" si="62"/>
        <v>93022</v>
      </c>
      <c r="L132" s="302">
        <f t="shared" si="24"/>
        <v>100</v>
      </c>
    </row>
    <row r="133" spans="1:16" ht="16.5">
      <c r="A133" s="284"/>
      <c r="B133" s="540"/>
      <c r="C133" s="350" t="s">
        <v>854</v>
      </c>
      <c r="D133" s="297" t="s">
        <v>941</v>
      </c>
      <c r="E133" s="298"/>
      <c r="F133" s="298"/>
      <c r="G133" s="298"/>
      <c r="H133" s="298"/>
      <c r="I133" s="298">
        <v>65200</v>
      </c>
      <c r="J133" s="298">
        <v>63029</v>
      </c>
      <c r="K133" s="298">
        <v>63029</v>
      </c>
      <c r="L133" s="298">
        <f t="shared" si="24"/>
        <v>100</v>
      </c>
    </row>
    <row r="134" spans="1:16" ht="16.5">
      <c r="A134" s="284"/>
      <c r="B134" s="540"/>
      <c r="C134" s="350" t="s">
        <v>864</v>
      </c>
      <c r="D134" s="297" t="s">
        <v>932</v>
      </c>
      <c r="E134" s="298"/>
      <c r="F134" s="298"/>
      <c r="G134" s="298">
        <v>499</v>
      </c>
      <c r="H134" s="298">
        <v>0</v>
      </c>
      <c r="I134" s="298">
        <v>7235</v>
      </c>
      <c r="J134" s="298">
        <v>29993</v>
      </c>
      <c r="K134" s="298">
        <v>29993</v>
      </c>
      <c r="L134" s="298">
        <f t="shared" si="24"/>
        <v>100</v>
      </c>
    </row>
    <row r="135" spans="1:16" ht="16.5">
      <c r="A135" s="284"/>
      <c r="B135" s="540"/>
      <c r="C135" s="350" t="s">
        <v>390</v>
      </c>
      <c r="D135" s="297" t="s">
        <v>933</v>
      </c>
      <c r="E135" s="298"/>
      <c r="F135" s="298"/>
      <c r="G135" s="298">
        <v>260</v>
      </c>
      <c r="H135" s="298">
        <v>0</v>
      </c>
      <c r="I135" s="298"/>
      <c r="J135" s="298"/>
      <c r="K135" s="298"/>
      <c r="L135" s="298" t="e">
        <f t="shared" ref="L135:L166" si="63">K135/J135*100</f>
        <v>#DIV/0!</v>
      </c>
    </row>
    <row r="136" spans="1:16" ht="16.5">
      <c r="A136" s="284"/>
      <c r="B136" s="540"/>
      <c r="C136" s="350"/>
      <c r="D136" s="545" t="s">
        <v>873</v>
      </c>
      <c r="E136" s="546">
        <f t="shared" ref="E136:I136" si="64">SUM(E127+E131+E130)</f>
        <v>2585</v>
      </c>
      <c r="F136" s="546">
        <f t="shared" si="64"/>
        <v>3074</v>
      </c>
      <c r="G136" s="546">
        <f t="shared" si="64"/>
        <v>3833</v>
      </c>
      <c r="H136" s="546">
        <f t="shared" si="64"/>
        <v>3934</v>
      </c>
      <c r="I136" s="546">
        <f t="shared" si="64"/>
        <v>72435</v>
      </c>
      <c r="J136" s="546">
        <f t="shared" ref="J136:K136" si="65">SUM(J127+J131+J130)</f>
        <v>93022</v>
      </c>
      <c r="K136" s="546">
        <f t="shared" si="65"/>
        <v>93022</v>
      </c>
      <c r="L136" s="546">
        <f t="shared" si="63"/>
        <v>100</v>
      </c>
    </row>
    <row r="137" spans="1:16" ht="16.5" customHeight="1">
      <c r="A137" s="284"/>
      <c r="B137" s="535" t="s">
        <v>5</v>
      </c>
      <c r="C137" s="351"/>
      <c r="D137" s="1959" t="s">
        <v>197</v>
      </c>
      <c r="E137" s="1959"/>
      <c r="F137" s="1959"/>
      <c r="G137" s="1959"/>
      <c r="H137" s="1959"/>
      <c r="I137" s="298"/>
      <c r="J137" s="298"/>
      <c r="K137" s="298"/>
      <c r="L137" s="298"/>
    </row>
    <row r="138" spans="1:16" ht="16.5">
      <c r="A138" s="284"/>
      <c r="B138" s="540"/>
      <c r="C138" s="351" t="s">
        <v>6</v>
      </c>
      <c r="D138" s="297" t="s">
        <v>508</v>
      </c>
      <c r="E138" s="298">
        <v>1962</v>
      </c>
      <c r="F138" s="298">
        <v>2295</v>
      </c>
      <c r="G138" s="298">
        <v>2363</v>
      </c>
      <c r="H138" s="298">
        <v>2499</v>
      </c>
      <c r="I138" s="298">
        <v>7669</v>
      </c>
      <c r="J138" s="298">
        <v>3633</v>
      </c>
      <c r="K138" s="298">
        <v>3633</v>
      </c>
      <c r="L138" s="298">
        <f t="shared" si="63"/>
        <v>100</v>
      </c>
    </row>
    <row r="139" spans="1:16" ht="16.5">
      <c r="A139" s="284"/>
      <c r="B139" s="540"/>
      <c r="C139" s="351" t="s">
        <v>8</v>
      </c>
      <c r="D139" s="297" t="s">
        <v>509</v>
      </c>
      <c r="E139" s="298">
        <v>587</v>
      </c>
      <c r="F139" s="298">
        <v>699</v>
      </c>
      <c r="G139" s="298">
        <v>721</v>
      </c>
      <c r="H139" s="298">
        <v>719</v>
      </c>
      <c r="I139" s="298">
        <v>2094</v>
      </c>
      <c r="J139" s="298">
        <v>931</v>
      </c>
      <c r="K139" s="298">
        <v>931</v>
      </c>
      <c r="L139" s="298">
        <f t="shared" si="63"/>
        <v>100</v>
      </c>
      <c r="P139" s="322" t="e">
        <f>SUM(#REF!-#REF!)</f>
        <v>#REF!</v>
      </c>
    </row>
    <row r="140" spans="1:16" ht="16.5">
      <c r="A140" s="284"/>
      <c r="B140" s="540"/>
      <c r="C140" s="351" t="s">
        <v>10</v>
      </c>
      <c r="D140" s="297" t="s">
        <v>201</v>
      </c>
      <c r="E140" s="298">
        <v>36</v>
      </c>
      <c r="F140" s="298">
        <v>80</v>
      </c>
      <c r="G140" s="298">
        <v>489</v>
      </c>
      <c r="H140" s="298">
        <v>716</v>
      </c>
      <c r="I140" s="298">
        <v>62672</v>
      </c>
      <c r="J140" s="298">
        <v>88400</v>
      </c>
      <c r="K140" s="298">
        <v>88400</v>
      </c>
      <c r="L140" s="298">
        <f t="shared" si="63"/>
        <v>100</v>
      </c>
    </row>
    <row r="141" spans="1:16" ht="16.5">
      <c r="A141" s="284"/>
      <c r="B141" s="540"/>
      <c r="C141" s="351" t="s">
        <v>12</v>
      </c>
      <c r="D141" s="297" t="s">
        <v>881</v>
      </c>
      <c r="E141" s="298"/>
      <c r="F141" s="298"/>
      <c r="G141" s="298"/>
      <c r="H141" s="298"/>
      <c r="I141" s="298"/>
      <c r="J141" s="298"/>
      <c r="K141" s="298"/>
      <c r="L141" s="298"/>
    </row>
    <row r="142" spans="1:16" ht="16.5">
      <c r="A142" s="284"/>
      <c r="B142" s="540"/>
      <c r="C142" s="351" t="s">
        <v>14</v>
      </c>
      <c r="D142" s="297" t="s">
        <v>882</v>
      </c>
      <c r="E142" s="298"/>
      <c r="F142" s="298"/>
      <c r="G142" s="298">
        <v>260</v>
      </c>
      <c r="H142" s="298">
        <v>0</v>
      </c>
      <c r="I142" s="298"/>
      <c r="J142" s="298">
        <v>58</v>
      </c>
      <c r="K142" s="298">
        <v>58</v>
      </c>
      <c r="L142" s="298">
        <f t="shared" si="63"/>
        <v>100</v>
      </c>
    </row>
    <row r="143" spans="1:16" ht="16.5">
      <c r="A143" s="284"/>
      <c r="B143" s="540"/>
      <c r="C143" s="351" t="s">
        <v>16</v>
      </c>
      <c r="D143" s="297" t="s">
        <v>883</v>
      </c>
      <c r="E143" s="298"/>
      <c r="F143" s="298"/>
      <c r="G143" s="298"/>
      <c r="H143" s="298"/>
      <c r="I143" s="298"/>
      <c r="J143" s="298"/>
      <c r="K143" s="298"/>
      <c r="L143" s="298"/>
    </row>
    <row r="144" spans="1:16" ht="16.5">
      <c r="A144" s="284"/>
      <c r="B144" s="540"/>
      <c r="C144" s="351"/>
      <c r="D144" s="547" t="s">
        <v>884</v>
      </c>
      <c r="E144" s="546">
        <f t="shared" ref="E144:I144" si="66">SUM(E138:E143)</f>
        <v>2585</v>
      </c>
      <c r="F144" s="546">
        <f t="shared" si="66"/>
        <v>3074</v>
      </c>
      <c r="G144" s="546">
        <f t="shared" si="66"/>
        <v>3833</v>
      </c>
      <c r="H144" s="546">
        <f t="shared" si="66"/>
        <v>3934</v>
      </c>
      <c r="I144" s="546">
        <f t="shared" si="66"/>
        <v>72435</v>
      </c>
      <c r="J144" s="546">
        <f>SUM(J138:J143)</f>
        <v>93022</v>
      </c>
      <c r="K144" s="546">
        <f t="shared" ref="K144" si="67">SUM(K138:K143)</f>
        <v>93022</v>
      </c>
      <c r="L144" s="546">
        <f t="shared" si="63"/>
        <v>100</v>
      </c>
    </row>
    <row r="145" spans="1:12" ht="16.5">
      <c r="A145" s="284"/>
      <c r="B145" s="535" t="s">
        <v>19</v>
      </c>
      <c r="C145" s="280"/>
      <c r="D145" s="548" t="s">
        <v>885</v>
      </c>
      <c r="E145" s="415">
        <v>1</v>
      </c>
      <c r="F145" s="415">
        <v>1</v>
      </c>
      <c r="G145" s="415">
        <v>1</v>
      </c>
      <c r="H145" s="415">
        <v>1</v>
      </c>
      <c r="I145" s="415"/>
      <c r="J145" s="415"/>
      <c r="K145" s="415"/>
      <c r="L145" s="415"/>
    </row>
    <row r="146" spans="1:12" ht="17.25">
      <c r="A146" s="534"/>
      <c r="B146" s="535"/>
      <c r="C146" s="279"/>
      <c r="D146" s="574" t="s">
        <v>957</v>
      </c>
      <c r="E146" s="575"/>
      <c r="F146" s="575"/>
      <c r="G146" s="575"/>
      <c r="H146" s="575"/>
      <c r="I146" s="576"/>
      <c r="J146" s="576"/>
      <c r="K146" s="576"/>
      <c r="L146" s="576"/>
    </row>
    <row r="147" spans="1:12" ht="16.5" customHeight="1">
      <c r="A147" s="284"/>
      <c r="B147" s="535" t="s">
        <v>4</v>
      </c>
      <c r="C147" s="350"/>
      <c r="D147" s="1959" t="s">
        <v>196</v>
      </c>
      <c r="E147" s="1959"/>
      <c r="F147" s="1959"/>
      <c r="G147" s="1959"/>
      <c r="H147" s="1959"/>
      <c r="I147" s="298"/>
      <c r="J147" s="298"/>
      <c r="K147" s="298"/>
      <c r="L147" s="298"/>
    </row>
    <row r="148" spans="1:12" ht="16.5">
      <c r="A148" s="284"/>
      <c r="B148" s="540"/>
      <c r="C148" s="279" t="s">
        <v>102</v>
      </c>
      <c r="D148" s="297" t="s">
        <v>850</v>
      </c>
      <c r="E148" s="298"/>
      <c r="F148" s="298"/>
      <c r="G148" s="298"/>
      <c r="H148" s="308"/>
      <c r="I148" s="298">
        <v>4700</v>
      </c>
      <c r="J148" s="298">
        <v>6051</v>
      </c>
      <c r="K148" s="298">
        <v>6051</v>
      </c>
      <c r="L148" s="298">
        <f t="shared" si="63"/>
        <v>100</v>
      </c>
    </row>
    <row r="149" spans="1:12" ht="16.5">
      <c r="A149" s="284"/>
      <c r="B149" s="540"/>
      <c r="C149" s="279" t="s">
        <v>104</v>
      </c>
      <c r="D149" s="297" t="s">
        <v>851</v>
      </c>
      <c r="E149" s="298">
        <v>0</v>
      </c>
      <c r="F149" s="298">
        <v>0</v>
      </c>
      <c r="G149" s="298">
        <v>0</v>
      </c>
      <c r="H149" s="308"/>
      <c r="I149" s="298">
        <v>0</v>
      </c>
      <c r="J149" s="298">
        <v>0</v>
      </c>
      <c r="K149" s="298">
        <v>0</v>
      </c>
      <c r="L149" s="298"/>
    </row>
    <row r="150" spans="1:12" ht="16.5">
      <c r="A150" s="284"/>
      <c r="B150" s="540"/>
      <c r="C150" s="279" t="s">
        <v>106</v>
      </c>
      <c r="D150" s="297" t="s">
        <v>852</v>
      </c>
      <c r="E150" s="298">
        <f t="shared" ref="E150:I150" si="68">SUM(E151+E154)</f>
        <v>11898</v>
      </c>
      <c r="F150" s="298">
        <f t="shared" si="68"/>
        <v>13011</v>
      </c>
      <c r="G150" s="298">
        <f t="shared" si="68"/>
        <v>13387</v>
      </c>
      <c r="H150" s="308">
        <f t="shared" si="68"/>
        <v>0</v>
      </c>
      <c r="I150" s="298">
        <f t="shared" si="68"/>
        <v>0</v>
      </c>
      <c r="J150" s="298">
        <f t="shared" ref="J150:K150" si="69">SUM(J151+J154)</f>
        <v>0</v>
      </c>
      <c r="K150" s="298">
        <f t="shared" si="69"/>
        <v>0</v>
      </c>
      <c r="L150" s="298"/>
    </row>
    <row r="151" spans="1:12" ht="16.5">
      <c r="A151" s="541"/>
      <c r="B151" s="542"/>
      <c r="C151" s="304" t="s">
        <v>389</v>
      </c>
      <c r="D151" s="301" t="s">
        <v>853</v>
      </c>
      <c r="E151" s="302">
        <f t="shared" ref="E151:I151" si="70">SUM(E152:E153)</f>
        <v>11898</v>
      </c>
      <c r="F151" s="302">
        <f t="shared" si="70"/>
        <v>13011</v>
      </c>
      <c r="G151" s="302">
        <f t="shared" si="70"/>
        <v>13387</v>
      </c>
      <c r="H151" s="577">
        <f t="shared" si="70"/>
        <v>0</v>
      </c>
      <c r="I151" s="302">
        <f t="shared" si="70"/>
        <v>0</v>
      </c>
      <c r="J151" s="302">
        <f t="shared" ref="J151:K151" si="71">SUM(J152:J153)</f>
        <v>0</v>
      </c>
      <c r="K151" s="302">
        <f t="shared" si="71"/>
        <v>0</v>
      </c>
      <c r="L151" s="302"/>
    </row>
    <row r="152" spans="1:12" ht="16.5">
      <c r="A152" s="284"/>
      <c r="B152" s="540"/>
      <c r="C152" s="350" t="s">
        <v>854</v>
      </c>
      <c r="D152" s="297" t="s">
        <v>937</v>
      </c>
      <c r="E152" s="298">
        <v>10776</v>
      </c>
      <c r="F152" s="298">
        <v>10236</v>
      </c>
      <c r="G152" s="298">
        <v>10236</v>
      </c>
      <c r="H152" s="308">
        <v>0</v>
      </c>
      <c r="I152" s="298"/>
      <c r="J152" s="298"/>
      <c r="K152" s="298"/>
      <c r="L152" s="298"/>
    </row>
    <row r="153" spans="1:12" ht="16.5">
      <c r="A153" s="284"/>
      <c r="B153" s="540"/>
      <c r="C153" s="350" t="s">
        <v>864</v>
      </c>
      <c r="D153" s="297" t="s">
        <v>932</v>
      </c>
      <c r="E153" s="298">
        <v>1122</v>
      </c>
      <c r="F153" s="298">
        <v>2775</v>
      </c>
      <c r="G153" s="298">
        <v>3151</v>
      </c>
      <c r="H153" s="308">
        <v>0</v>
      </c>
      <c r="I153" s="298"/>
      <c r="J153" s="298"/>
      <c r="K153" s="298"/>
      <c r="L153" s="298"/>
    </row>
    <row r="154" spans="1:12" ht="16.5">
      <c r="A154" s="284"/>
      <c r="B154" s="540"/>
      <c r="C154" s="350" t="s">
        <v>390</v>
      </c>
      <c r="D154" s="297" t="s">
        <v>933</v>
      </c>
      <c r="E154" s="298"/>
      <c r="F154" s="298"/>
      <c r="G154" s="298"/>
      <c r="H154" s="308"/>
      <c r="I154" s="298"/>
      <c r="J154" s="298"/>
      <c r="K154" s="298"/>
      <c r="L154" s="298"/>
    </row>
    <row r="155" spans="1:12" ht="16.5">
      <c r="A155" s="284"/>
      <c r="B155" s="540"/>
      <c r="C155" s="350"/>
      <c r="D155" s="545" t="s">
        <v>873</v>
      </c>
      <c r="E155" s="546">
        <f t="shared" ref="E155:I155" si="72">SUM(E148+E150+E149)</f>
        <v>11898</v>
      </c>
      <c r="F155" s="546">
        <f t="shared" si="72"/>
        <v>13011</v>
      </c>
      <c r="G155" s="546">
        <f t="shared" si="72"/>
        <v>13387</v>
      </c>
      <c r="H155" s="578">
        <f t="shared" si="72"/>
        <v>0</v>
      </c>
      <c r="I155" s="546">
        <f t="shared" si="72"/>
        <v>4700</v>
      </c>
      <c r="J155" s="546">
        <f t="shared" ref="J155:K155" si="73">SUM(J148+J150+J149)</f>
        <v>6051</v>
      </c>
      <c r="K155" s="546">
        <f t="shared" si="73"/>
        <v>6051</v>
      </c>
      <c r="L155" s="546">
        <f t="shared" si="63"/>
        <v>100</v>
      </c>
    </row>
    <row r="156" spans="1:12" ht="16.5">
      <c r="A156" s="284"/>
      <c r="B156" s="535" t="s">
        <v>5</v>
      </c>
      <c r="C156" s="351"/>
      <c r="D156" s="1959" t="s">
        <v>197</v>
      </c>
      <c r="E156" s="1959"/>
      <c r="F156" s="1959"/>
      <c r="G156" s="1959"/>
      <c r="H156" s="1959"/>
      <c r="I156" s="298"/>
      <c r="J156" s="298"/>
      <c r="K156" s="298"/>
      <c r="L156" s="298"/>
    </row>
    <row r="157" spans="1:12" ht="16.5">
      <c r="A157" s="284"/>
      <c r="B157" s="540"/>
      <c r="C157" s="351" t="s">
        <v>6</v>
      </c>
      <c r="D157" s="297" t="s">
        <v>508</v>
      </c>
      <c r="E157" s="298">
        <v>7165</v>
      </c>
      <c r="F157" s="298">
        <v>8560</v>
      </c>
      <c r="G157" s="298">
        <v>8845</v>
      </c>
      <c r="H157" s="308">
        <v>0</v>
      </c>
      <c r="I157" s="298">
        <v>134</v>
      </c>
      <c r="J157" s="298">
        <v>134</v>
      </c>
      <c r="K157" s="298">
        <v>129</v>
      </c>
      <c r="L157" s="298">
        <f t="shared" si="63"/>
        <v>96.268656716417908</v>
      </c>
    </row>
    <row r="158" spans="1:12" ht="16.5">
      <c r="A158" s="284"/>
      <c r="B158" s="540"/>
      <c r="C158" s="351" t="s">
        <v>8</v>
      </c>
      <c r="D158" s="297" t="s">
        <v>509</v>
      </c>
      <c r="E158" s="298">
        <v>2274</v>
      </c>
      <c r="F158" s="298">
        <v>2699</v>
      </c>
      <c r="G158" s="298">
        <v>2790</v>
      </c>
      <c r="H158" s="308">
        <v>0</v>
      </c>
      <c r="I158" s="298">
        <v>36</v>
      </c>
      <c r="J158" s="298">
        <v>36</v>
      </c>
      <c r="K158" s="298">
        <v>17</v>
      </c>
      <c r="L158" s="298">
        <f t="shared" si="63"/>
        <v>47.222222222222221</v>
      </c>
    </row>
    <row r="159" spans="1:12" ht="16.5">
      <c r="A159" s="284"/>
      <c r="B159" s="540"/>
      <c r="C159" s="351" t="s">
        <v>10</v>
      </c>
      <c r="D159" s="297" t="s">
        <v>201</v>
      </c>
      <c r="E159" s="298">
        <v>2459</v>
      </c>
      <c r="F159" s="298">
        <v>1752</v>
      </c>
      <c r="G159" s="298">
        <v>1752</v>
      </c>
      <c r="H159" s="308">
        <v>0</v>
      </c>
      <c r="I159" s="298">
        <v>4530</v>
      </c>
      <c r="J159" s="298">
        <v>5881</v>
      </c>
      <c r="K159" s="298">
        <v>5905</v>
      </c>
      <c r="L159" s="298">
        <f t="shared" si="63"/>
        <v>100.40809386158816</v>
      </c>
    </row>
    <row r="160" spans="1:12" ht="16.5">
      <c r="A160" s="284"/>
      <c r="B160" s="540"/>
      <c r="C160" s="351" t="s">
        <v>12</v>
      </c>
      <c r="D160" s="297" t="s">
        <v>881</v>
      </c>
      <c r="E160" s="298"/>
      <c r="F160" s="298"/>
      <c r="G160" s="298"/>
      <c r="H160" s="308"/>
      <c r="I160" s="298"/>
      <c r="J160" s="298"/>
      <c r="K160" s="298"/>
      <c r="L160" s="298"/>
    </row>
    <row r="161" spans="1:12" ht="16.5">
      <c r="A161" s="284"/>
      <c r="B161" s="540"/>
      <c r="C161" s="351" t="s">
        <v>14</v>
      </c>
      <c r="D161" s="297" t="s">
        <v>882</v>
      </c>
      <c r="E161" s="298"/>
      <c r="F161" s="298"/>
      <c r="G161" s="298"/>
      <c r="H161" s="308"/>
      <c r="I161" s="298"/>
      <c r="J161" s="298"/>
      <c r="K161" s="298"/>
      <c r="L161" s="298"/>
    </row>
    <row r="162" spans="1:12" ht="16.5">
      <c r="A162" s="284"/>
      <c r="B162" s="540"/>
      <c r="C162" s="351" t="s">
        <v>16</v>
      </c>
      <c r="D162" s="297" t="s">
        <v>883</v>
      </c>
      <c r="E162" s="298"/>
      <c r="F162" s="298"/>
      <c r="G162" s="298"/>
      <c r="H162" s="308"/>
      <c r="I162" s="298"/>
      <c r="J162" s="298"/>
      <c r="K162" s="298"/>
      <c r="L162" s="298"/>
    </row>
    <row r="163" spans="1:12" ht="16.5">
      <c r="A163" s="284"/>
      <c r="B163" s="540"/>
      <c r="C163" s="351"/>
      <c r="D163" s="547" t="s">
        <v>884</v>
      </c>
      <c r="E163" s="546">
        <f t="shared" ref="E163:I163" si="74">SUM(E157:E162)</f>
        <v>11898</v>
      </c>
      <c r="F163" s="546">
        <f t="shared" si="74"/>
        <v>13011</v>
      </c>
      <c r="G163" s="546">
        <f t="shared" si="74"/>
        <v>13387</v>
      </c>
      <c r="H163" s="578">
        <f t="shared" si="74"/>
        <v>0</v>
      </c>
      <c r="I163" s="546">
        <f t="shared" si="74"/>
        <v>4700</v>
      </c>
      <c r="J163" s="546">
        <f t="shared" ref="J163:K163" si="75">SUM(J157:J162)</f>
        <v>6051</v>
      </c>
      <c r="K163" s="546">
        <f t="shared" si="75"/>
        <v>6051</v>
      </c>
      <c r="L163" s="546">
        <f t="shared" si="63"/>
        <v>100</v>
      </c>
    </row>
    <row r="164" spans="1:12" ht="16.5">
      <c r="A164" s="284"/>
      <c r="B164" s="535" t="s">
        <v>19</v>
      </c>
      <c r="C164" s="280"/>
      <c r="D164" s="548" t="s">
        <v>885</v>
      </c>
      <c r="E164" s="415">
        <v>3</v>
      </c>
      <c r="F164" s="415">
        <v>3</v>
      </c>
      <c r="G164" s="415">
        <v>3</v>
      </c>
      <c r="H164" s="415">
        <v>0</v>
      </c>
      <c r="I164" s="415"/>
      <c r="J164" s="415"/>
      <c r="K164" s="415"/>
      <c r="L164" s="415"/>
    </row>
    <row r="165" spans="1:12" ht="29.25">
      <c r="A165" s="589"/>
      <c r="B165" s="590"/>
      <c r="C165" s="591"/>
      <c r="D165" s="592" t="s">
        <v>958</v>
      </c>
      <c r="E165" s="593">
        <f>SUM(E80+E60+E39+E20)</f>
        <v>365650</v>
      </c>
      <c r="F165" s="593">
        <f>SUM(F80+F60+F39+F20)</f>
        <v>291953</v>
      </c>
      <c r="G165" s="593">
        <f>SUM(G80+G60+G39+G20)</f>
        <v>384593</v>
      </c>
      <c r="H165" s="593">
        <f>SUM(H80+H60+H39+H20+H99)</f>
        <v>337564</v>
      </c>
      <c r="I165" s="593">
        <f>SUM(I80+I60+I39+I20+I99+I117+I136+I155)</f>
        <v>543455</v>
      </c>
      <c r="J165" s="593">
        <f t="shared" ref="J165:K165" si="76">SUM(J80+J60+J39+J20+J99+J117+J136+J155)</f>
        <v>614582</v>
      </c>
      <c r="K165" s="593">
        <f t="shared" si="76"/>
        <v>596565</v>
      </c>
      <c r="L165" s="593">
        <f t="shared" si="63"/>
        <v>97.068413978932028</v>
      </c>
    </row>
    <row r="166" spans="1:12" ht="29.25">
      <c r="A166" s="589"/>
      <c r="B166" s="590"/>
      <c r="C166" s="591"/>
      <c r="D166" s="592" t="s">
        <v>959</v>
      </c>
      <c r="E166" s="593">
        <f>SUM(E88+E68+E47+E28)</f>
        <v>365650</v>
      </c>
      <c r="F166" s="593">
        <f>SUM(F88+F68+F47+F28)</f>
        <v>291953</v>
      </c>
      <c r="G166" s="593">
        <f>SUM(G88+G68+G47+G28)</f>
        <v>384593</v>
      </c>
      <c r="H166" s="593">
        <f>SUM(H88+H68+H47+H28+H106)</f>
        <v>337564</v>
      </c>
      <c r="I166" s="593">
        <f>SUM(I88+I68+I47+I28+I106+I123+I144+I163)</f>
        <v>543455</v>
      </c>
      <c r="J166" s="593">
        <f t="shared" ref="J166:K166" si="77">SUM(J88+J68+J47+J28+J106+J123+J144+J163)</f>
        <v>614582</v>
      </c>
      <c r="K166" s="593">
        <f t="shared" si="77"/>
        <v>607031</v>
      </c>
      <c r="L166" s="593">
        <f t="shared" si="63"/>
        <v>98.771360046340433</v>
      </c>
    </row>
    <row r="167" spans="1:12" ht="16.5">
      <c r="A167" s="589"/>
      <c r="B167" s="590"/>
      <c r="C167" s="591"/>
      <c r="D167" s="592" t="s">
        <v>960</v>
      </c>
      <c r="E167" s="593">
        <f>SUM(E89,E69,E48,E29)</f>
        <v>58.5</v>
      </c>
      <c r="F167" s="593">
        <f>SUM(F89,F69,F48,F29)</f>
        <v>62</v>
      </c>
      <c r="G167" s="593">
        <f>SUM(G89,G69,G48,G29)</f>
        <v>62</v>
      </c>
      <c r="H167" s="593">
        <f>SUM(H89,H69,H48,H29,H107)</f>
        <v>69</v>
      </c>
      <c r="I167" s="593">
        <f>SUM(I164+I145+I124+I107+I89+I69+I48+I29)</f>
        <v>73</v>
      </c>
      <c r="J167" s="593">
        <f t="shared" ref="J167:K167" si="78">SUM(J164+J145+J124+J107+J89+J69+J48+J29)</f>
        <v>73</v>
      </c>
      <c r="K167" s="593">
        <f t="shared" si="78"/>
        <v>73</v>
      </c>
      <c r="L167" s="593"/>
    </row>
    <row r="168" spans="1:12" ht="16.5">
      <c r="A168" s="594"/>
      <c r="B168" s="559"/>
      <c r="C168" s="560"/>
      <c r="D168" s="595"/>
      <c r="E168" s="596"/>
      <c r="F168" s="596"/>
      <c r="G168" s="596"/>
      <c r="H168" s="596"/>
      <c r="I168" s="596"/>
      <c r="J168" s="596"/>
      <c r="K168" s="596"/>
      <c r="L168" s="596"/>
    </row>
    <row r="169" spans="1:12" ht="16.5">
      <c r="A169" s="594"/>
      <c r="B169" s="559"/>
      <c r="C169" s="560"/>
      <c r="D169" s="595"/>
      <c r="E169" s="596"/>
      <c r="F169" s="596"/>
      <c r="G169" s="596"/>
      <c r="H169" s="596"/>
      <c r="I169" s="596"/>
      <c r="J169" s="596"/>
      <c r="K169" s="596"/>
      <c r="L169" s="596"/>
    </row>
    <row r="170" spans="1:12" ht="16.5">
      <c r="A170" s="594"/>
      <c r="B170" s="559"/>
      <c r="C170" s="560"/>
      <c r="D170" s="595"/>
      <c r="E170" s="596"/>
      <c r="F170" s="596"/>
      <c r="G170" s="596"/>
      <c r="H170" s="596"/>
      <c r="I170" s="596"/>
      <c r="J170" s="596"/>
      <c r="K170" s="596"/>
      <c r="L170" s="596"/>
    </row>
    <row r="171" spans="1:12" ht="16.5">
      <c r="A171" s="594"/>
      <c r="B171" s="559"/>
      <c r="C171" s="560"/>
      <c r="D171" s="595"/>
      <c r="E171" s="596"/>
      <c r="F171" s="596"/>
      <c r="G171" s="596"/>
      <c r="H171" s="596"/>
      <c r="I171" s="596"/>
      <c r="J171" s="596"/>
      <c r="K171" s="596"/>
      <c r="L171" s="596"/>
    </row>
    <row r="172" spans="1:12" ht="16.5">
      <c r="A172" s="594"/>
      <c r="B172" s="559"/>
      <c r="C172" s="560"/>
      <c r="D172" s="595"/>
      <c r="E172" s="596"/>
      <c r="F172" s="596"/>
      <c r="G172" s="596"/>
      <c r="H172" s="596"/>
      <c r="I172" s="596"/>
      <c r="J172" s="596"/>
      <c r="K172" s="596"/>
      <c r="L172" s="596"/>
    </row>
    <row r="173" spans="1:12" ht="16.5">
      <c r="A173" s="594"/>
      <c r="B173" s="559"/>
      <c r="C173" s="560"/>
      <c r="D173" s="595"/>
      <c r="E173" s="596"/>
      <c r="F173" s="596"/>
      <c r="G173" s="596"/>
      <c r="H173" s="596"/>
      <c r="I173" s="596"/>
      <c r="J173" s="596"/>
      <c r="K173" s="596"/>
      <c r="L173" s="596"/>
    </row>
    <row r="174" spans="1:12" ht="16.5">
      <c r="A174" s="594"/>
      <c r="B174" s="559"/>
      <c r="C174" s="560"/>
      <c r="D174" s="595"/>
      <c r="E174" s="596"/>
      <c r="F174" s="596"/>
      <c r="G174" s="596"/>
      <c r="H174" s="596"/>
      <c r="I174" s="596"/>
      <c r="J174" s="596"/>
      <c r="K174" s="596"/>
      <c r="L174" s="596"/>
    </row>
    <row r="175" spans="1:12" ht="16.5">
      <c r="A175" s="594"/>
      <c r="B175" s="559"/>
      <c r="C175" s="560"/>
      <c r="D175" s="595"/>
      <c r="E175" s="596"/>
      <c r="F175" s="596"/>
      <c r="G175" s="596"/>
      <c r="H175" s="596"/>
      <c r="I175" s="596"/>
      <c r="J175" s="596"/>
      <c r="K175" s="596"/>
      <c r="L175" s="596"/>
    </row>
    <row r="176" spans="1:12" ht="17.25">
      <c r="A176" s="594"/>
      <c r="B176" s="559"/>
      <c r="C176" s="560"/>
      <c r="D176" s="597"/>
      <c r="E176" s="596"/>
      <c r="F176" s="596"/>
      <c r="G176" s="596"/>
      <c r="H176" s="596"/>
      <c r="I176" s="596"/>
      <c r="J176" s="596"/>
      <c r="K176" s="596"/>
      <c r="L176" s="596"/>
    </row>
    <row r="180" spans="5:25">
      <c r="Y180" s="274"/>
    </row>
    <row r="181" spans="5:25">
      <c r="Y181" s="274"/>
    </row>
    <row r="182" spans="5:25">
      <c r="Y182" s="274"/>
    </row>
    <row r="183" spans="5:25">
      <c r="Y183" s="274"/>
    </row>
    <row r="184" spans="5:25">
      <c r="Y184" s="274"/>
    </row>
    <row r="185" spans="5:25">
      <c r="E185" s="322" t="e">
        <f>SUM(#REF!-#REF!)</f>
        <v>#REF!</v>
      </c>
      <c r="F185" s="322" t="e">
        <f>SUM(#REF!-#REF!)</f>
        <v>#REF!</v>
      </c>
      <c r="Y185" s="274"/>
    </row>
    <row r="186" spans="5:25">
      <c r="Y186" s="274"/>
    </row>
    <row r="187" spans="5:25">
      <c r="Y187" s="274"/>
    </row>
    <row r="188" spans="5:25">
      <c r="Y188" s="274"/>
    </row>
    <row r="189" spans="5:25">
      <c r="Y189" s="274"/>
    </row>
    <row r="190" spans="5:25">
      <c r="Y190" s="274"/>
    </row>
    <row r="191" spans="5:25">
      <c r="Y191" s="274"/>
    </row>
    <row r="192" spans="5:25">
      <c r="Y192" s="274"/>
    </row>
    <row r="193" spans="25:25">
      <c r="Y193" s="274"/>
    </row>
    <row r="194" spans="25:25">
      <c r="Y194" s="274"/>
    </row>
    <row r="195" spans="25:25">
      <c r="Y195" s="274"/>
    </row>
    <row r="196" spans="25:25">
      <c r="Y196" s="274"/>
    </row>
    <row r="197" spans="25:25">
      <c r="Y197" s="274"/>
    </row>
    <row r="198" spans="25:25">
      <c r="Y198" s="274"/>
    </row>
    <row r="199" spans="25:25">
      <c r="Y199" s="274"/>
    </row>
    <row r="200" spans="25:25">
      <c r="Y200" s="274"/>
    </row>
    <row r="201" spans="25:25">
      <c r="Y201" s="274"/>
    </row>
    <row r="202" spans="25:25">
      <c r="Y202" s="274"/>
    </row>
    <row r="203" spans="25:25">
      <c r="Y203" s="274"/>
    </row>
  </sheetData>
  <sheetProtection selectLockedCells="1" selectUnlockedCells="1"/>
  <mergeCells count="18">
    <mergeCell ref="D137:H137"/>
    <mergeCell ref="D147:H147"/>
    <mergeCell ref="D156:H156"/>
    <mergeCell ref="D91:H91"/>
    <mergeCell ref="D100:H100"/>
    <mergeCell ref="D109:H109"/>
    <mergeCell ref="D118:H118"/>
    <mergeCell ref="D126:H126"/>
    <mergeCell ref="D40:H40"/>
    <mergeCell ref="D50:H50"/>
    <mergeCell ref="D61:H61"/>
    <mergeCell ref="D71:H71"/>
    <mergeCell ref="D81:H81"/>
    <mergeCell ref="A1:C1"/>
    <mergeCell ref="D2:H2"/>
    <mergeCell ref="D4:H4"/>
    <mergeCell ref="D21:H21"/>
    <mergeCell ref="D31:H31"/>
  </mergeCells>
  <printOptions horizontalCentered="1"/>
  <pageMargins left="0" right="0" top="0.74803149606299213" bottom="0.19685039370078741" header="0.27559055118110237" footer="0.11811023622047245"/>
  <pageSetup paperSize="9" scale="94" firstPageNumber="99" orientation="portrait" horizontalDpi="300" verticalDpi="300" r:id="rId1"/>
  <headerFooter alignWithMargins="0">
    <oddHeader>&amp;C&amp;"Times New Roman,Félkövér"&amp;14Önállóan működő és gazdálkodó intézmény
 2013. évi bevételei és kiadásai&amp;R&amp;"Times New Roman,Normál"&amp;12 5.11.1.  sz. melléklet
Ezer Ft</oddHeader>
    <oddFooter>&amp;C- &amp;P -</oddFooter>
  </headerFooter>
  <rowBreaks count="3" manualBreakCount="3">
    <brk id="48" max="16383" man="1"/>
    <brk id="89" max="16383" man="1"/>
    <brk id="124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view="pageBreakPreview" zoomScaleNormal="110" zoomScaleSheetLayoutView="100" workbookViewId="0">
      <selection activeCell="F34" sqref="F34:H34"/>
    </sheetView>
  </sheetViews>
  <sheetFormatPr defaultRowHeight="12.75"/>
  <cols>
    <col min="1" max="1" width="3.83203125" style="86" customWidth="1"/>
    <col min="2" max="2" width="5" style="86" customWidth="1"/>
    <col min="3" max="3" width="3" style="86" customWidth="1"/>
    <col min="4" max="4" width="41.6640625" style="87" customWidth="1"/>
    <col min="5" max="5" width="15.6640625" style="86" customWidth="1"/>
    <col min="6" max="6" width="14.1640625" style="86" customWidth="1"/>
    <col min="7" max="7" width="18" style="86" customWidth="1"/>
    <col min="8" max="8" width="16.6640625" style="86" customWidth="1"/>
    <col min="9" max="9" width="18.83203125" style="598" customWidth="1"/>
    <col min="10" max="11" width="16.6640625" style="86" customWidth="1"/>
    <col min="12" max="12" width="10.5" style="86" customWidth="1"/>
    <col min="13" max="14" width="12.83203125" style="86" customWidth="1"/>
    <col min="15" max="15" width="13.83203125" style="86" customWidth="1"/>
    <col min="16" max="16384" width="9.33203125" style="86"/>
  </cols>
  <sheetData>
    <row r="1" spans="1:21" ht="14.25" thickBot="1">
      <c r="D1" s="599"/>
      <c r="E1" s="598"/>
      <c r="F1" s="598"/>
      <c r="G1" s="598"/>
      <c r="H1" s="598"/>
      <c r="I1" s="600"/>
      <c r="J1" s="598"/>
      <c r="K1" s="598"/>
      <c r="L1" s="598"/>
    </row>
    <row r="2" spans="1:21" s="92" customFormat="1" ht="61.5" customHeight="1">
      <c r="A2" s="1960" t="s">
        <v>0</v>
      </c>
      <c r="B2" s="1960"/>
      <c r="C2" s="1960"/>
      <c r="D2" s="601" t="s">
        <v>977</v>
      </c>
      <c r="E2" s="601" t="s">
        <v>961</v>
      </c>
      <c r="F2" s="601" t="s">
        <v>962</v>
      </c>
      <c r="G2" s="601" t="s">
        <v>1343</v>
      </c>
      <c r="H2" s="601" t="s">
        <v>1267</v>
      </c>
      <c r="I2" s="828" t="s">
        <v>1344</v>
      </c>
      <c r="J2" s="601" t="s">
        <v>1921</v>
      </c>
      <c r="K2" s="601" t="s">
        <v>1924</v>
      </c>
      <c r="L2" s="601" t="s">
        <v>2</v>
      </c>
    </row>
    <row r="3" spans="1:21" s="598" customFormat="1" ht="12" customHeight="1">
      <c r="A3" s="602"/>
      <c r="B3" s="603"/>
      <c r="C3" s="603"/>
      <c r="D3" s="604">
        <v>1</v>
      </c>
      <c r="E3" s="604">
        <v>2</v>
      </c>
      <c r="F3" s="604">
        <v>3</v>
      </c>
      <c r="G3" s="604">
        <v>4</v>
      </c>
      <c r="H3" s="604">
        <v>5</v>
      </c>
      <c r="I3" s="605" t="s">
        <v>963</v>
      </c>
      <c r="J3" s="604">
        <v>7</v>
      </c>
      <c r="K3" s="604">
        <v>8</v>
      </c>
      <c r="L3" s="604">
        <v>9</v>
      </c>
    </row>
    <row r="4" spans="1:21" s="598" customFormat="1" ht="19.5" customHeight="1">
      <c r="A4" s="606" t="s">
        <v>4</v>
      </c>
      <c r="B4" s="607"/>
      <c r="C4" s="607"/>
      <c r="D4" s="829" t="s">
        <v>964</v>
      </c>
      <c r="E4" s="859">
        <f>SUM(E5:E16)</f>
        <v>25000</v>
      </c>
      <c r="F4" s="859"/>
      <c r="G4" s="859">
        <f>SUM(G5:G16)</f>
        <v>0</v>
      </c>
      <c r="H4" s="859">
        <f>SUM(H5:H16)</f>
        <v>25000</v>
      </c>
      <c r="I4" s="609"/>
      <c r="J4" s="610">
        <f>SUM(J5:J15)</f>
        <v>29420</v>
      </c>
      <c r="K4" s="610">
        <f>SUM(K5:K15)</f>
        <v>28867</v>
      </c>
      <c r="L4" s="782">
        <f t="shared" ref="L4:L13" si="0">K4/J4*100</f>
        <v>98.120326308633594</v>
      </c>
      <c r="N4" s="598">
        <f>SUM(H4,'6.2.sz.mell.'!H3)</f>
        <v>116500</v>
      </c>
      <c r="O4" s="598">
        <f>SUM(I4,'6.2.sz.mell.'!I3)</f>
        <v>0</v>
      </c>
      <c r="P4" s="598">
        <f>SUM(J4,'6.2.sz.mell.'!J3)</f>
        <v>767214</v>
      </c>
      <c r="Q4" s="598">
        <f>SUM(K4,'6.2.sz.mell.'!K3)</f>
        <v>547203</v>
      </c>
    </row>
    <row r="5" spans="1:21" ht="15.95" customHeight="1">
      <c r="A5" s="612"/>
      <c r="B5" s="613" t="s">
        <v>965</v>
      </c>
      <c r="C5" s="830"/>
      <c r="D5" s="831" t="s">
        <v>1345</v>
      </c>
      <c r="E5" s="832">
        <v>25000</v>
      </c>
      <c r="F5" s="860">
        <v>2013</v>
      </c>
      <c r="G5" s="611"/>
      <c r="H5" s="832">
        <v>25000</v>
      </c>
      <c r="I5" s="768">
        <f t="shared" ref="I5:I23" si="1">E5-G5-H5</f>
        <v>0</v>
      </c>
      <c r="J5" s="832">
        <v>15310</v>
      </c>
      <c r="K5" s="1201">
        <v>15310</v>
      </c>
      <c r="L5" s="783">
        <f t="shared" si="0"/>
        <v>100</v>
      </c>
    </row>
    <row r="6" spans="1:21" ht="15.95" customHeight="1">
      <c r="A6" s="612"/>
      <c r="B6" s="613" t="s">
        <v>966</v>
      </c>
      <c r="C6" s="830"/>
      <c r="D6" s="831" t="s">
        <v>1686</v>
      </c>
      <c r="E6" s="832">
        <v>0</v>
      </c>
      <c r="F6" s="860">
        <v>2013</v>
      </c>
      <c r="G6" s="611"/>
      <c r="H6" s="832">
        <v>0</v>
      </c>
      <c r="I6" s="768">
        <f t="shared" si="1"/>
        <v>0</v>
      </c>
      <c r="J6" s="832">
        <v>4000</v>
      </c>
      <c r="K6" s="1201">
        <v>3849</v>
      </c>
      <c r="L6" s="783">
        <f t="shared" si="0"/>
        <v>96.225000000000009</v>
      </c>
    </row>
    <row r="7" spans="1:21" ht="16.5" customHeight="1">
      <c r="A7" s="612"/>
      <c r="B7" s="613" t="s">
        <v>967</v>
      </c>
      <c r="C7" s="830"/>
      <c r="D7" s="831" t="s">
        <v>1687</v>
      </c>
      <c r="E7" s="832">
        <v>0</v>
      </c>
      <c r="F7" s="860">
        <v>2013</v>
      </c>
      <c r="G7" s="611"/>
      <c r="H7" s="832">
        <v>0</v>
      </c>
      <c r="I7" s="768">
        <f t="shared" si="1"/>
        <v>0</v>
      </c>
      <c r="J7" s="832">
        <v>651</v>
      </c>
      <c r="K7" s="1201">
        <v>651</v>
      </c>
      <c r="L7" s="783">
        <f t="shared" si="0"/>
        <v>100</v>
      </c>
    </row>
    <row r="8" spans="1:21" ht="29.25" customHeight="1">
      <c r="A8" s="612"/>
      <c r="B8" s="613" t="s">
        <v>902</v>
      </c>
      <c r="C8" s="830"/>
      <c r="D8" s="831" t="s">
        <v>1688</v>
      </c>
      <c r="E8" s="832">
        <v>0</v>
      </c>
      <c r="F8" s="860">
        <v>2013</v>
      </c>
      <c r="G8" s="611"/>
      <c r="H8" s="832">
        <v>0</v>
      </c>
      <c r="I8" s="768">
        <f t="shared" si="1"/>
        <v>0</v>
      </c>
      <c r="J8" s="832">
        <v>402</v>
      </c>
      <c r="K8" s="1201"/>
      <c r="L8" s="783">
        <f t="shared" si="0"/>
        <v>0</v>
      </c>
    </row>
    <row r="9" spans="1:21" ht="15.95" customHeight="1">
      <c r="A9" s="612"/>
      <c r="B9" s="613" t="s">
        <v>110</v>
      </c>
      <c r="C9" s="830"/>
      <c r="D9" s="297" t="s">
        <v>1839</v>
      </c>
      <c r="E9" s="832">
        <v>0</v>
      </c>
      <c r="F9" s="860">
        <v>2013</v>
      </c>
      <c r="G9" s="611"/>
      <c r="H9" s="832">
        <v>0</v>
      </c>
      <c r="I9" s="768">
        <f t="shared" si="1"/>
        <v>0</v>
      </c>
      <c r="J9" s="832">
        <v>2643</v>
      </c>
      <c r="K9" s="1201">
        <v>2643</v>
      </c>
      <c r="L9" s="783">
        <f t="shared" si="0"/>
        <v>100</v>
      </c>
    </row>
    <row r="10" spans="1:21" ht="15.95" customHeight="1">
      <c r="A10" s="612"/>
      <c r="B10" s="613" t="s">
        <v>276</v>
      </c>
      <c r="C10" s="830"/>
      <c r="D10" s="831" t="s">
        <v>1840</v>
      </c>
      <c r="E10" s="832">
        <v>0</v>
      </c>
      <c r="F10" s="860">
        <v>2013</v>
      </c>
      <c r="G10" s="611"/>
      <c r="H10" s="832">
        <v>0</v>
      </c>
      <c r="I10" s="768">
        <f t="shared" si="1"/>
        <v>0</v>
      </c>
      <c r="J10" s="832">
        <v>2036</v>
      </c>
      <c r="K10" s="1201">
        <v>2036</v>
      </c>
      <c r="L10" s="783">
        <f t="shared" si="0"/>
        <v>100</v>
      </c>
    </row>
    <row r="11" spans="1:21" ht="15.95" customHeight="1">
      <c r="A11" s="612"/>
      <c r="B11" s="613" t="s">
        <v>968</v>
      </c>
      <c r="C11" s="830"/>
      <c r="D11" s="831" t="s">
        <v>1841</v>
      </c>
      <c r="E11" s="832">
        <v>0</v>
      </c>
      <c r="F11" s="860">
        <v>2013</v>
      </c>
      <c r="G11" s="611"/>
      <c r="H11" s="832">
        <v>0</v>
      </c>
      <c r="I11" s="768">
        <f t="shared" si="1"/>
        <v>0</v>
      </c>
      <c r="J11" s="832">
        <v>2244</v>
      </c>
      <c r="K11" s="1201">
        <v>2244</v>
      </c>
      <c r="L11" s="783">
        <f t="shared" si="0"/>
        <v>100</v>
      </c>
    </row>
    <row r="12" spans="1:21" ht="15.95" customHeight="1">
      <c r="A12" s="612"/>
      <c r="B12" s="613" t="s">
        <v>969</v>
      </c>
      <c r="C12" s="830"/>
      <c r="D12" s="831" t="s">
        <v>1842</v>
      </c>
      <c r="E12" s="832">
        <v>0</v>
      </c>
      <c r="F12" s="860">
        <v>2013</v>
      </c>
      <c r="G12" s="611"/>
      <c r="H12" s="832">
        <v>0</v>
      </c>
      <c r="I12" s="768">
        <f t="shared" si="1"/>
        <v>0</v>
      </c>
      <c r="J12" s="832">
        <v>290</v>
      </c>
      <c r="K12" s="1201">
        <v>290</v>
      </c>
      <c r="L12" s="783">
        <f t="shared" si="0"/>
        <v>100</v>
      </c>
    </row>
    <row r="13" spans="1:21" ht="15.95" customHeight="1">
      <c r="A13" s="612"/>
      <c r="B13" s="613" t="s">
        <v>970</v>
      </c>
      <c r="C13" s="830"/>
      <c r="D13" s="831" t="s">
        <v>1954</v>
      </c>
      <c r="E13" s="832">
        <v>0</v>
      </c>
      <c r="F13" s="860"/>
      <c r="G13" s="611"/>
      <c r="H13" s="832"/>
      <c r="I13" s="768">
        <f t="shared" si="1"/>
        <v>0</v>
      </c>
      <c r="J13" s="832">
        <v>1844</v>
      </c>
      <c r="K13" s="1201">
        <v>1844</v>
      </c>
      <c r="L13" s="783">
        <f t="shared" si="0"/>
        <v>100</v>
      </c>
    </row>
    <row r="14" spans="1:21" ht="15.95" customHeight="1">
      <c r="A14" s="612"/>
      <c r="B14" s="613" t="s">
        <v>971</v>
      </c>
      <c r="C14" s="830"/>
      <c r="D14" s="831" t="s">
        <v>1346</v>
      </c>
      <c r="E14" s="832">
        <v>0</v>
      </c>
      <c r="F14" s="860"/>
      <c r="G14" s="611"/>
      <c r="H14" s="832"/>
      <c r="I14" s="768">
        <f t="shared" si="1"/>
        <v>0</v>
      </c>
      <c r="J14" s="832"/>
      <c r="K14" s="1201"/>
      <c r="L14" s="783"/>
    </row>
    <row r="15" spans="1:21" ht="15.95" customHeight="1">
      <c r="A15" s="612"/>
      <c r="B15" s="613" t="s">
        <v>972</v>
      </c>
      <c r="C15" s="830"/>
      <c r="D15" s="834" t="s">
        <v>973</v>
      </c>
      <c r="E15" s="832">
        <v>0</v>
      </c>
      <c r="F15" s="833"/>
      <c r="G15" s="611"/>
      <c r="H15" s="832"/>
      <c r="I15" s="768">
        <f t="shared" si="1"/>
        <v>0</v>
      </c>
      <c r="J15" s="832"/>
      <c r="K15" s="1201"/>
      <c r="L15" s="783"/>
      <c r="U15" s="86">
        <v>547203</v>
      </c>
    </row>
    <row r="16" spans="1:21" s="598" customFormat="1" ht="19.5" customHeight="1">
      <c r="A16" s="1027" t="s">
        <v>5</v>
      </c>
      <c r="B16" s="607"/>
      <c r="C16" s="607"/>
      <c r="D16" s="829" t="s">
        <v>1793</v>
      </c>
      <c r="E16" s="859"/>
      <c r="F16" s="859"/>
      <c r="G16" s="859"/>
      <c r="H16" s="859"/>
      <c r="I16" s="609"/>
      <c r="J16" s="610">
        <f>J17+J21</f>
        <v>844</v>
      </c>
      <c r="K16" s="610">
        <f>K17+K21</f>
        <v>844</v>
      </c>
      <c r="L16" s="782">
        <f>K16/J16*100</f>
        <v>100</v>
      </c>
      <c r="N16" s="1580">
        <f>SUM(H16,'6.2.sz.mell.'!H139,'6.2.sz.mell.'!H146,'6.2.sz.mell.'!H149,'6.2.sz.mell.'!H152,'6.2.sz.mell.'!H158,'6.2.sz.mell.'!H162,'6.2.sz.mell.'!H173,'6.2.sz.mell.'!H180)</f>
        <v>0</v>
      </c>
      <c r="O16" s="1580">
        <f>SUM(I16,'6.2.sz.mell.'!I139,'6.2.sz.mell.'!I146,'6.2.sz.mell.'!I149,'6.2.sz.mell.'!I152,'6.2.sz.mell.'!I158,'6.2.sz.mell.'!I162,'6.2.sz.mell.'!I173,'6.2.sz.mell.'!I180)</f>
        <v>0</v>
      </c>
      <c r="P16" s="1580">
        <f>SUM(J16,'6.2.sz.mell.'!J139,'6.2.sz.mell.'!J146,'6.2.sz.mell.'!J149,'6.2.sz.mell.'!J152,'6.2.sz.mell.'!J158,'6.2.sz.mell.'!J162,'6.2.sz.mell.'!J173,'6.2.sz.mell.'!J180)</f>
        <v>20412</v>
      </c>
      <c r="Q16" s="1580">
        <f>SUM(K16,'6.2.sz.mell.'!K139,'6.2.sz.mell.'!K146,'6.2.sz.mell.'!K149,'6.2.sz.mell.'!K152,'6.2.sz.mell.'!K158,'6.2.sz.mell.'!K162,'6.2.sz.mell.'!K173,'6.2.sz.mell.'!K180)</f>
        <v>20412</v>
      </c>
      <c r="U16" s="598">
        <v>8018</v>
      </c>
    </row>
    <row r="17" spans="1:21" s="598" customFormat="1" ht="19.5" customHeight="1">
      <c r="A17" s="1963" t="s">
        <v>302</v>
      </c>
      <c r="B17" s="1964"/>
      <c r="C17" s="1965"/>
      <c r="D17" s="829" t="s">
        <v>920</v>
      </c>
      <c r="E17" s="859"/>
      <c r="F17" s="859"/>
      <c r="G17" s="859"/>
      <c r="H17" s="859"/>
      <c r="I17" s="609">
        <f t="shared" si="1"/>
        <v>0</v>
      </c>
      <c r="J17" s="610">
        <f>SUM(J18:J20)</f>
        <v>611</v>
      </c>
      <c r="K17" s="610">
        <f>SUM(K18:K20)</f>
        <v>611</v>
      </c>
      <c r="L17" s="782">
        <f>K17/J17*100</f>
        <v>100</v>
      </c>
      <c r="N17" s="1580"/>
      <c r="U17" s="598">
        <v>20412</v>
      </c>
    </row>
    <row r="18" spans="1:21" ht="15.75">
      <c r="A18" s="612"/>
      <c r="B18" s="835" t="s">
        <v>457</v>
      </c>
      <c r="C18" s="614"/>
      <c r="D18" s="1274" t="s">
        <v>2047</v>
      </c>
      <c r="E18" s="777"/>
      <c r="F18" s="780"/>
      <c r="G18" s="777"/>
      <c r="H18" s="777"/>
      <c r="I18" s="630"/>
      <c r="J18" s="777">
        <v>484</v>
      </c>
      <c r="K18" s="777">
        <v>484</v>
      </c>
      <c r="L18" s="839">
        <f>K18/J18*100</f>
        <v>100</v>
      </c>
      <c r="U18" s="86">
        <f>SUM(U15:U17)</f>
        <v>575633</v>
      </c>
    </row>
    <row r="19" spans="1:21" ht="15.75">
      <c r="A19" s="612"/>
      <c r="B19" s="835" t="s">
        <v>475</v>
      </c>
      <c r="C19" s="614"/>
      <c r="D19" s="1275" t="s">
        <v>2048</v>
      </c>
      <c r="E19" s="630"/>
      <c r="F19" s="780"/>
      <c r="G19" s="630"/>
      <c r="H19" s="630"/>
      <c r="I19" s="630"/>
      <c r="J19" s="630">
        <v>127</v>
      </c>
      <c r="K19" s="630">
        <v>127</v>
      </c>
      <c r="L19" s="839">
        <f t="shared" ref="L19:L20" si="2">K19/J19*100</f>
        <v>100</v>
      </c>
    </row>
    <row r="20" spans="1:21" ht="15.75">
      <c r="A20" s="612"/>
      <c r="B20" s="835" t="s">
        <v>415</v>
      </c>
      <c r="C20" s="614"/>
      <c r="D20" s="836"/>
      <c r="E20" s="837"/>
      <c r="F20" s="837">
        <v>2013</v>
      </c>
      <c r="G20" s="837"/>
      <c r="H20" s="837"/>
      <c r="I20" s="768">
        <f>E20-G20-H20</f>
        <v>0</v>
      </c>
      <c r="J20" s="838">
        <v>0</v>
      </c>
      <c r="K20" s="838"/>
      <c r="L20" s="839" t="e">
        <f t="shared" si="2"/>
        <v>#DIV/0!</v>
      </c>
      <c r="M20" s="1961"/>
      <c r="N20" s="1962"/>
      <c r="O20" s="1962"/>
      <c r="P20" s="1962"/>
      <c r="Q20" s="1962"/>
      <c r="R20" s="1962"/>
    </row>
    <row r="21" spans="1:21" s="598" customFormat="1" ht="19.5" customHeight="1">
      <c r="A21" s="1966" t="s">
        <v>304</v>
      </c>
      <c r="B21" s="1967"/>
      <c r="C21" s="1968"/>
      <c r="D21" s="829" t="s">
        <v>1952</v>
      </c>
      <c r="E21" s="859"/>
      <c r="F21" s="859"/>
      <c r="G21" s="859"/>
      <c r="H21" s="859"/>
      <c r="I21" s="609">
        <f>E21-G21-H21</f>
        <v>0</v>
      </c>
      <c r="J21" s="610">
        <f>SUM(J22)</f>
        <v>233</v>
      </c>
      <c r="K21" s="610">
        <f>SUM(K22)</f>
        <v>233</v>
      </c>
      <c r="L21" s="610">
        <f>K21/J21*100</f>
        <v>100</v>
      </c>
    </row>
    <row r="22" spans="1:21" ht="15.75">
      <c r="A22" s="612"/>
      <c r="B22" s="835" t="s">
        <v>8</v>
      </c>
      <c r="C22" s="614"/>
      <c r="D22" s="631" t="s">
        <v>1953</v>
      </c>
      <c r="E22" s="837"/>
      <c r="F22" s="837">
        <v>2013</v>
      </c>
      <c r="G22" s="837"/>
      <c r="H22" s="837"/>
      <c r="I22" s="768">
        <f>E22-G22-H22</f>
        <v>0</v>
      </c>
      <c r="J22" s="838">
        <v>233</v>
      </c>
      <c r="K22" s="838">
        <v>233</v>
      </c>
      <c r="L22" s="839">
        <f>K22/J22*100</f>
        <v>100</v>
      </c>
    </row>
    <row r="23" spans="1:21" s="618" customFormat="1" ht="15.95" hidden="1" customHeight="1">
      <c r="A23" s="616"/>
      <c r="B23" s="840"/>
      <c r="C23" s="617"/>
      <c r="D23" s="836"/>
      <c r="E23" s="841"/>
      <c r="F23" s="841"/>
      <c r="G23" s="841"/>
      <c r="H23" s="841"/>
      <c r="I23" s="768">
        <f t="shared" si="1"/>
        <v>0</v>
      </c>
      <c r="J23" s="842"/>
      <c r="K23" s="842"/>
      <c r="L23" s="843"/>
    </row>
    <row r="24" spans="1:21" ht="15.95" hidden="1" customHeight="1">
      <c r="A24" s="612"/>
      <c r="B24" s="835"/>
      <c r="C24" s="614"/>
      <c r="D24" s="844"/>
      <c r="E24" s="837"/>
      <c r="F24" s="837"/>
      <c r="G24" s="837"/>
      <c r="H24" s="837"/>
      <c r="I24" s="768"/>
      <c r="J24" s="838"/>
      <c r="K24" s="838"/>
      <c r="L24" s="839"/>
    </row>
    <row r="25" spans="1:21" ht="15.95" hidden="1" customHeight="1">
      <c r="A25" s="612"/>
      <c r="B25" s="835"/>
      <c r="C25" s="614"/>
      <c r="D25" s="845"/>
      <c r="E25" s="837"/>
      <c r="F25" s="837"/>
      <c r="G25" s="837"/>
      <c r="H25" s="837"/>
      <c r="I25" s="768"/>
      <c r="J25" s="838"/>
      <c r="K25" s="838"/>
      <c r="L25" s="839"/>
    </row>
    <row r="26" spans="1:21" ht="15.95" hidden="1" customHeight="1">
      <c r="A26" s="612"/>
      <c r="B26" s="613"/>
      <c r="C26" s="614"/>
      <c r="D26" s="611"/>
      <c r="E26" s="611"/>
      <c r="F26" s="611"/>
      <c r="G26" s="611"/>
      <c r="H26" s="611"/>
      <c r="I26" s="768"/>
      <c r="J26" s="615"/>
      <c r="K26" s="615"/>
      <c r="L26" s="783"/>
    </row>
    <row r="27" spans="1:21" ht="15.95" hidden="1" customHeight="1">
      <c r="A27" s="612"/>
      <c r="B27" s="613"/>
      <c r="C27" s="614"/>
      <c r="D27" s="611"/>
      <c r="E27" s="611"/>
      <c r="F27" s="611"/>
      <c r="G27" s="611"/>
      <c r="H27" s="611"/>
      <c r="I27" s="768"/>
      <c r="J27" s="615"/>
      <c r="K27" s="615"/>
      <c r="L27" s="783"/>
    </row>
    <row r="28" spans="1:21" s="619" customFormat="1" ht="18" customHeight="1">
      <c r="A28" s="608"/>
      <c r="B28" s="608"/>
      <c r="C28" s="608"/>
      <c r="D28" s="608" t="s">
        <v>976</v>
      </c>
      <c r="E28" s="610">
        <f>SUM(E5:E27)</f>
        <v>25000</v>
      </c>
      <c r="F28" s="608"/>
      <c r="G28" s="608">
        <f>SUM(G5:G27)</f>
        <v>0</v>
      </c>
      <c r="H28" s="610">
        <f>SUM(H5:H27)</f>
        <v>25000</v>
      </c>
      <c r="I28" s="610">
        <f>SUM(I5:I27)</f>
        <v>0</v>
      </c>
      <c r="J28" s="610">
        <f>SUM(J4+J16)</f>
        <v>30264</v>
      </c>
      <c r="K28" s="610">
        <f>SUM(K4+K16)</f>
        <v>29711</v>
      </c>
      <c r="L28" s="782">
        <f>K28/J28*100</f>
        <v>98.17274649748876</v>
      </c>
    </row>
    <row r="30" spans="1:21" ht="18.75">
      <c r="F30" s="1212" t="s">
        <v>1904</v>
      </c>
      <c r="G30" s="1212" t="s">
        <v>1905</v>
      </c>
      <c r="H30" s="1212" t="s">
        <v>1906</v>
      </c>
    </row>
    <row r="31" spans="1:21" s="1211" customFormat="1" ht="18.75">
      <c r="D31" s="1212" t="s">
        <v>1903</v>
      </c>
      <c r="F31" s="1211">
        <f>SUM(H4+'6.2.sz.mell.'!H3)</f>
        <v>116500</v>
      </c>
      <c r="G31" s="1211">
        <f>SUM(J4+'6.2.sz.mell.'!J3)</f>
        <v>767214</v>
      </c>
      <c r="H31" s="1211">
        <f>SUM(K4+'6.2.sz.mell.'!K3)</f>
        <v>547203</v>
      </c>
      <c r="I31" s="1213"/>
    </row>
    <row r="32" spans="1:21" s="1211" customFormat="1" ht="18.75">
      <c r="D32" s="1212" t="s">
        <v>1907</v>
      </c>
      <c r="F32" s="1211">
        <f>SUM('6.2.sz.mell.'!H124)</f>
        <v>24500</v>
      </c>
      <c r="G32" s="1211">
        <f>SUM('6.2.sz.mell.'!J124)</f>
        <v>8018</v>
      </c>
      <c r="H32" s="1211">
        <f>SUM('6.2.sz.mell.'!K124)</f>
        <v>8018</v>
      </c>
      <c r="I32" s="1213"/>
    </row>
    <row r="33" spans="4:9" s="1211" customFormat="1" ht="18.75">
      <c r="D33" s="1212" t="s">
        <v>1908</v>
      </c>
      <c r="F33" s="1211">
        <f>SUM(H17+'6.2.sz.mell.'!H123-'6.2.sz.mell.'!H124)</f>
        <v>0</v>
      </c>
      <c r="G33" s="1211">
        <f>SUM(J16+'6.2.sz.mell.'!J123-'6.2.sz.mell.'!J124)</f>
        <v>20412</v>
      </c>
      <c r="H33" s="1211">
        <f>SUM(K16+'6.2.sz.mell.'!K123-'6.2.sz.mell.'!K124)</f>
        <v>20412</v>
      </c>
      <c r="I33" s="1213"/>
    </row>
    <row r="34" spans="4:9" s="1211" customFormat="1" ht="18.75">
      <c r="D34" s="1212"/>
      <c r="F34" s="1211">
        <f>SUM(F31:F33)</f>
        <v>141000</v>
      </c>
      <c r="G34" s="1211">
        <f t="shared" ref="G34:H34" si="3">SUM(G31:G33)</f>
        <v>795644</v>
      </c>
      <c r="H34" s="1211">
        <f t="shared" si="3"/>
        <v>575633</v>
      </c>
      <c r="I34" s="1213"/>
    </row>
    <row r="35" spans="4:9" s="436" customFormat="1" ht="15.75">
      <c r="D35" s="1210"/>
      <c r="I35" s="434"/>
    </row>
    <row r="36" spans="4:9" s="436" customFormat="1" ht="15.75">
      <c r="D36" s="1210"/>
      <c r="I36" s="434"/>
    </row>
    <row r="37" spans="4:9" s="436" customFormat="1" ht="15.75">
      <c r="D37" s="1210"/>
      <c r="I37" s="434"/>
    </row>
    <row r="38" spans="4:9" s="436" customFormat="1" ht="15.75">
      <c r="D38" s="1210"/>
      <c r="I38" s="434"/>
    </row>
    <row r="39" spans="4:9" s="436" customFormat="1" ht="15.75">
      <c r="D39" s="1210"/>
      <c r="I39" s="434"/>
    </row>
    <row r="40" spans="4:9" s="436" customFormat="1" ht="15.75">
      <c r="D40" s="1210"/>
      <c r="I40" s="434"/>
    </row>
    <row r="41" spans="4:9" s="436" customFormat="1" ht="15.75">
      <c r="D41" s="1210"/>
      <c r="I41" s="434"/>
    </row>
    <row r="42" spans="4:9" s="436" customFormat="1" ht="15.75">
      <c r="D42" s="1210"/>
      <c r="I42" s="434"/>
    </row>
    <row r="43" spans="4:9" s="436" customFormat="1" ht="15.75">
      <c r="D43" s="1210"/>
      <c r="I43" s="434"/>
    </row>
  </sheetData>
  <sheetProtection selectLockedCells="1" selectUnlockedCells="1"/>
  <mergeCells count="4">
    <mergeCell ref="A2:C2"/>
    <mergeCell ref="M20:R20"/>
    <mergeCell ref="A17:C17"/>
    <mergeCell ref="A21:C21"/>
  </mergeCells>
  <printOptions horizontalCentered="1"/>
  <pageMargins left="0.27559055118110237" right="0.35433070866141736" top="1.0629921259842521" bottom="0.98425196850393704" header="0.51181102362204722" footer="0.78740157480314965"/>
  <pageSetup paperSize="9" scale="85" firstPageNumber="103" orientation="landscape" r:id="rId1"/>
  <headerFooter alignWithMargins="0">
    <oddHeader>&amp;C&amp;"Times New Roman CE,Félkövér"&amp;14Vecsés Város felújítási kiadásainak előirányzata felújításonként&amp;R&amp;"Arial,Normál"&amp;12 6.1. sz. mellékletEzer Ft</oddHeader>
    <oddFooter xml:space="preserve">&amp;C- &amp;P -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1"/>
  <sheetViews>
    <sheetView view="pageBreakPreview" zoomScale="97" zoomScaleSheetLayoutView="97" workbookViewId="0">
      <selection activeCell="F39" sqref="F39"/>
    </sheetView>
  </sheetViews>
  <sheetFormatPr defaultRowHeight="12.75"/>
  <cols>
    <col min="1" max="1" width="3.6640625" style="86" customWidth="1"/>
    <col min="2" max="2" width="4.83203125" style="86" customWidth="1"/>
    <col min="3" max="3" width="2.1640625" style="86" customWidth="1"/>
    <col min="4" max="4" width="71" style="87" customWidth="1"/>
    <col min="5" max="5" width="15.83203125" style="86" customWidth="1"/>
    <col min="6" max="6" width="14.83203125" style="86" customWidth="1"/>
    <col min="7" max="7" width="16" style="86" customWidth="1"/>
    <col min="8" max="9" width="14" style="86" customWidth="1"/>
    <col min="10" max="11" width="16.6640625" style="86" customWidth="1"/>
    <col min="12" max="12" width="8.33203125" style="86" customWidth="1"/>
    <col min="13" max="13" width="12.83203125" style="86" customWidth="1"/>
    <col min="14" max="14" width="16.5" style="86" customWidth="1"/>
    <col min="15" max="15" width="13.83203125" style="86" customWidth="1"/>
    <col min="16" max="16" width="14.33203125" style="86" customWidth="1"/>
    <col min="17" max="16384" width="9.33203125" style="86"/>
  </cols>
  <sheetData>
    <row r="1" spans="1:17" s="92" customFormat="1" ht="73.5" customHeight="1">
      <c r="A1" s="1973" t="s">
        <v>0</v>
      </c>
      <c r="B1" s="1973"/>
      <c r="C1" s="1973"/>
      <c r="D1" s="601" t="s">
        <v>1794</v>
      </c>
      <c r="E1" s="601" t="s">
        <v>961</v>
      </c>
      <c r="F1" s="601" t="s">
        <v>962</v>
      </c>
      <c r="G1" s="601" t="s">
        <v>1343</v>
      </c>
      <c r="H1" s="601" t="s">
        <v>1267</v>
      </c>
      <c r="I1" s="601" t="s">
        <v>1347</v>
      </c>
      <c r="J1" s="763" t="s">
        <v>1921</v>
      </c>
      <c r="K1" s="601" t="s">
        <v>1923</v>
      </c>
      <c r="L1" s="601" t="s">
        <v>2</v>
      </c>
    </row>
    <row r="2" spans="1:17" s="598" customFormat="1" ht="15" customHeight="1">
      <c r="A2" s="620"/>
      <c r="B2" s="621"/>
      <c r="C2" s="621"/>
      <c r="D2" s="622">
        <v>1</v>
      </c>
      <c r="E2" s="622">
        <v>2</v>
      </c>
      <c r="F2" s="622">
        <v>3</v>
      </c>
      <c r="G2" s="622">
        <v>4</v>
      </c>
      <c r="H2" s="622">
        <v>5</v>
      </c>
      <c r="I2" s="622">
        <v>6</v>
      </c>
      <c r="J2" s="764">
        <v>7</v>
      </c>
      <c r="K2" s="622" t="s">
        <v>74</v>
      </c>
      <c r="L2" s="622">
        <v>9</v>
      </c>
    </row>
    <row r="3" spans="1:17" s="598" customFormat="1" ht="19.5" customHeight="1">
      <c r="A3" s="1969" t="s">
        <v>978</v>
      </c>
      <c r="B3" s="1969"/>
      <c r="C3" s="1969"/>
      <c r="D3" s="1969"/>
      <c r="E3" s="846">
        <f>SUM(E4+E41+E76+E83)</f>
        <v>737794</v>
      </c>
      <c r="F3" s="846"/>
      <c r="G3" s="846">
        <f>SUM(G4+G41+G76+G83)</f>
        <v>0</v>
      </c>
      <c r="H3" s="846">
        <f>SUM(H4+H41+H76+H83)</f>
        <v>91500</v>
      </c>
      <c r="I3" s="610"/>
      <c r="J3" s="765">
        <f>SUM(J4+J41+J76+J83)</f>
        <v>737794</v>
      </c>
      <c r="K3" s="610">
        <f>SUM(K4+K41+K76+K83)</f>
        <v>518336</v>
      </c>
      <c r="L3" s="610">
        <f>K3/J3*100</f>
        <v>70.254840782115338</v>
      </c>
      <c r="N3" s="740"/>
      <c r="O3" s="740"/>
      <c r="P3" s="740"/>
      <c r="Q3" s="740"/>
    </row>
    <row r="4" spans="1:17" s="626" customFormat="1" ht="15.95" customHeight="1">
      <c r="A4" s="624" t="s">
        <v>4</v>
      </c>
      <c r="B4" s="625"/>
      <c r="C4" s="625"/>
      <c r="D4" s="847" t="s">
        <v>979</v>
      </c>
      <c r="E4" s="846">
        <f>SUM(E5:E40)</f>
        <v>143664</v>
      </c>
      <c r="F4" s="846"/>
      <c r="G4" s="846"/>
      <c r="H4" s="846">
        <f t="shared" ref="H4" si="0">SUM(H5:H29)</f>
        <v>25000</v>
      </c>
      <c r="I4" s="846"/>
      <c r="J4" s="846">
        <f>SUM(J5:J40)</f>
        <v>143664</v>
      </c>
      <c r="K4" s="846">
        <f>SUM(K5:K40)</f>
        <v>92709</v>
      </c>
      <c r="L4" s="610">
        <f>K4/J4*100</f>
        <v>64.531824256598739</v>
      </c>
    </row>
    <row r="5" spans="1:17" ht="15.75">
      <c r="A5" s="627"/>
      <c r="B5" s="628" t="s">
        <v>965</v>
      </c>
      <c r="C5" s="629"/>
      <c r="D5" s="831" t="s">
        <v>980</v>
      </c>
      <c r="E5" s="832">
        <f>SUM(J5)</f>
        <v>0</v>
      </c>
      <c r="F5" s="848"/>
      <c r="G5" s="623">
        <v>0</v>
      </c>
      <c r="H5" s="832">
        <v>0</v>
      </c>
      <c r="I5" s="768"/>
      <c r="J5" s="766">
        <v>0</v>
      </c>
      <c r="K5" s="623">
        <v>0</v>
      </c>
      <c r="L5" s="623"/>
    </row>
    <row r="6" spans="1:17" ht="15.75">
      <c r="A6" s="627"/>
      <c r="B6" s="628" t="s">
        <v>966</v>
      </c>
      <c r="C6" s="629"/>
      <c r="D6" s="834" t="s">
        <v>1348</v>
      </c>
      <c r="E6" s="832">
        <f t="shared" ref="E6:E29" si="1">SUM(J6)</f>
        <v>0</v>
      </c>
      <c r="F6" s="848">
        <v>2013</v>
      </c>
      <c r="G6" s="623"/>
      <c r="H6" s="832">
        <v>500</v>
      </c>
      <c r="I6" s="768"/>
      <c r="J6" s="766">
        <v>0</v>
      </c>
      <c r="K6" s="623">
        <v>0</v>
      </c>
      <c r="L6" s="623"/>
    </row>
    <row r="7" spans="1:17" ht="15.75">
      <c r="A7" s="627"/>
      <c r="B7" s="628" t="s">
        <v>967</v>
      </c>
      <c r="C7" s="629"/>
      <c r="D7" s="849" t="s">
        <v>1349</v>
      </c>
      <c r="E7" s="832">
        <f t="shared" si="1"/>
        <v>300</v>
      </c>
      <c r="F7" s="848">
        <v>2013</v>
      </c>
      <c r="G7" s="623"/>
      <c r="H7" s="832">
        <v>1000</v>
      </c>
      <c r="I7" s="768"/>
      <c r="J7" s="766">
        <v>300</v>
      </c>
      <c r="K7" s="623">
        <v>300</v>
      </c>
      <c r="L7" s="623">
        <f>K7/J7*100</f>
        <v>100</v>
      </c>
    </row>
    <row r="8" spans="1:17" ht="15.75">
      <c r="A8" s="627"/>
      <c r="B8" s="628" t="s">
        <v>902</v>
      </c>
      <c r="C8" s="629"/>
      <c r="D8" s="834" t="s">
        <v>1350</v>
      </c>
      <c r="E8" s="832">
        <f t="shared" si="1"/>
        <v>0</v>
      </c>
      <c r="F8" s="848"/>
      <c r="G8" s="623"/>
      <c r="H8" s="832">
        <v>0</v>
      </c>
      <c r="I8" s="768"/>
      <c r="J8" s="766"/>
      <c r="K8" s="623"/>
      <c r="L8" s="623"/>
    </row>
    <row r="9" spans="1:17" ht="15.75">
      <c r="A9" s="627"/>
      <c r="B9" s="628" t="s">
        <v>110</v>
      </c>
      <c r="C9" s="629"/>
      <c r="D9" s="831" t="s">
        <v>981</v>
      </c>
      <c r="E9" s="832">
        <f t="shared" si="1"/>
        <v>16680</v>
      </c>
      <c r="F9" s="848">
        <v>2013</v>
      </c>
      <c r="G9" s="623"/>
      <c r="H9" s="832">
        <v>5000</v>
      </c>
      <c r="I9" s="768"/>
      <c r="J9" s="766">
        <v>16680</v>
      </c>
      <c r="K9" s="623">
        <v>16680</v>
      </c>
      <c r="L9" s="623">
        <f>K9/J9*100</f>
        <v>100</v>
      </c>
    </row>
    <row r="10" spans="1:17" ht="15.75">
      <c r="A10" s="627"/>
      <c r="B10" s="628" t="s">
        <v>276</v>
      </c>
      <c r="C10" s="629"/>
      <c r="D10" s="831" t="s">
        <v>1351</v>
      </c>
      <c r="E10" s="832">
        <f t="shared" si="1"/>
        <v>0</v>
      </c>
      <c r="F10" s="848">
        <v>2013</v>
      </c>
      <c r="G10" s="623"/>
      <c r="H10" s="832">
        <v>500</v>
      </c>
      <c r="I10" s="768"/>
      <c r="J10" s="766">
        <v>0</v>
      </c>
      <c r="K10" s="623">
        <v>0</v>
      </c>
      <c r="L10" s="623"/>
    </row>
    <row r="11" spans="1:17" ht="15.75">
      <c r="A11" s="627"/>
      <c r="B11" s="628" t="s">
        <v>968</v>
      </c>
      <c r="C11" s="629"/>
      <c r="D11" s="831" t="s">
        <v>1352</v>
      </c>
      <c r="E11" s="832">
        <f t="shared" si="1"/>
        <v>481</v>
      </c>
      <c r="F11" s="848">
        <v>2013</v>
      </c>
      <c r="G11" s="623"/>
      <c r="H11" s="832">
        <v>1000</v>
      </c>
      <c r="I11" s="768"/>
      <c r="J11" s="766">
        <v>481</v>
      </c>
      <c r="K11" s="623">
        <v>481</v>
      </c>
      <c r="L11" s="623">
        <f>K11/J11*100</f>
        <v>100</v>
      </c>
    </row>
    <row r="12" spans="1:17" ht="15.75">
      <c r="A12" s="627"/>
      <c r="B12" s="628" t="s">
        <v>969</v>
      </c>
      <c r="C12" s="629"/>
      <c r="D12" s="831" t="s">
        <v>1353</v>
      </c>
      <c r="E12" s="832">
        <f t="shared" si="1"/>
        <v>0</v>
      </c>
      <c r="F12" s="848"/>
      <c r="G12" s="623"/>
      <c r="H12" s="832">
        <v>0</v>
      </c>
      <c r="I12" s="768"/>
      <c r="J12" s="766"/>
      <c r="K12" s="623"/>
      <c r="L12" s="623"/>
    </row>
    <row r="13" spans="1:17" ht="15.75">
      <c r="A13" s="627"/>
      <c r="B13" s="628" t="s">
        <v>970</v>
      </c>
      <c r="C13" s="629"/>
      <c r="D13" s="831" t="s">
        <v>1354</v>
      </c>
      <c r="E13" s="832">
        <f t="shared" si="1"/>
        <v>2457</v>
      </c>
      <c r="F13" s="848"/>
      <c r="G13" s="623"/>
      <c r="H13" s="832">
        <v>0</v>
      </c>
      <c r="I13" s="768"/>
      <c r="J13" s="766">
        <v>2457</v>
      </c>
      <c r="K13" s="623">
        <v>2457</v>
      </c>
      <c r="L13" s="623">
        <f t="shared" ref="L13" si="2">K13/J13*100</f>
        <v>100</v>
      </c>
    </row>
    <row r="14" spans="1:17" ht="15.75">
      <c r="A14" s="627"/>
      <c r="B14" s="628" t="s">
        <v>971</v>
      </c>
      <c r="C14" s="629"/>
      <c r="D14" s="850" t="s">
        <v>1355</v>
      </c>
      <c r="E14" s="832">
        <f t="shared" si="1"/>
        <v>4398</v>
      </c>
      <c r="F14" s="848">
        <v>2013</v>
      </c>
      <c r="G14" s="623"/>
      <c r="H14" s="832">
        <v>4000</v>
      </c>
      <c r="I14" s="768"/>
      <c r="J14" s="766">
        <v>4398</v>
      </c>
      <c r="K14" s="623">
        <v>4398</v>
      </c>
      <c r="L14" s="623">
        <f>K14/J14*100</f>
        <v>100</v>
      </c>
    </row>
    <row r="15" spans="1:17" ht="15.75">
      <c r="A15" s="627"/>
      <c r="B15" s="628" t="s">
        <v>972</v>
      </c>
      <c r="C15" s="629"/>
      <c r="D15" s="850" t="s">
        <v>1356</v>
      </c>
      <c r="E15" s="832">
        <f t="shared" si="1"/>
        <v>0</v>
      </c>
      <c r="F15" s="848">
        <v>2013</v>
      </c>
      <c r="G15" s="623"/>
      <c r="H15" s="832">
        <v>5000</v>
      </c>
      <c r="I15" s="768"/>
      <c r="J15" s="766">
        <v>0</v>
      </c>
      <c r="K15" s="623"/>
      <c r="L15" s="623"/>
    </row>
    <row r="16" spans="1:17" ht="15.75">
      <c r="A16" s="627"/>
      <c r="B16" s="628" t="s">
        <v>974</v>
      </c>
      <c r="C16" s="629"/>
      <c r="D16" s="834" t="s">
        <v>985</v>
      </c>
      <c r="E16" s="832">
        <f t="shared" si="1"/>
        <v>0</v>
      </c>
      <c r="F16" s="848"/>
      <c r="G16" s="623"/>
      <c r="H16" s="832">
        <v>0</v>
      </c>
      <c r="I16" s="768"/>
      <c r="J16" s="766"/>
      <c r="K16" s="623"/>
      <c r="L16" s="623"/>
    </row>
    <row r="17" spans="1:12" ht="15.75">
      <c r="A17" s="627"/>
      <c r="B17" s="628" t="s">
        <v>975</v>
      </c>
      <c r="C17" s="629"/>
      <c r="D17" s="834" t="s">
        <v>987</v>
      </c>
      <c r="E17" s="832">
        <f t="shared" si="1"/>
        <v>0</v>
      </c>
      <c r="F17" s="848"/>
      <c r="G17" s="623"/>
      <c r="H17" s="832">
        <v>0</v>
      </c>
      <c r="I17" s="768"/>
      <c r="J17" s="766"/>
      <c r="K17" s="623"/>
      <c r="L17" s="623"/>
    </row>
    <row r="18" spans="1:12" ht="15.75">
      <c r="A18" s="627"/>
      <c r="B18" s="628" t="s">
        <v>986</v>
      </c>
      <c r="C18" s="629"/>
      <c r="D18" s="851" t="s">
        <v>1357</v>
      </c>
      <c r="E18" s="832">
        <f t="shared" si="1"/>
        <v>0</v>
      </c>
      <c r="F18" s="853">
        <v>2013</v>
      </c>
      <c r="G18" s="623"/>
      <c r="H18" s="852">
        <v>500</v>
      </c>
      <c r="I18" s="768"/>
      <c r="J18" s="766">
        <v>0</v>
      </c>
      <c r="K18" s="623"/>
      <c r="L18" s="623"/>
    </row>
    <row r="19" spans="1:12" ht="15.75">
      <c r="A19" s="627"/>
      <c r="B19" s="628" t="s">
        <v>988</v>
      </c>
      <c r="C19" s="629"/>
      <c r="D19" s="851" t="s">
        <v>983</v>
      </c>
      <c r="E19" s="832">
        <f t="shared" si="1"/>
        <v>0</v>
      </c>
      <c r="F19" s="848"/>
      <c r="G19" s="623"/>
      <c r="H19" s="832">
        <v>0</v>
      </c>
      <c r="I19" s="768"/>
      <c r="J19" s="766"/>
      <c r="K19" s="623"/>
      <c r="L19" s="623"/>
    </row>
    <row r="20" spans="1:12" ht="15.75">
      <c r="A20" s="627"/>
      <c r="B20" s="628" t="s">
        <v>990</v>
      </c>
      <c r="C20" s="629"/>
      <c r="D20" s="851" t="s">
        <v>1358</v>
      </c>
      <c r="E20" s="832">
        <f t="shared" si="1"/>
        <v>472</v>
      </c>
      <c r="F20" s="848">
        <v>2013</v>
      </c>
      <c r="G20" s="623"/>
      <c r="H20" s="832">
        <v>1500</v>
      </c>
      <c r="I20" s="768"/>
      <c r="J20" s="766">
        <v>472</v>
      </c>
      <c r="K20" s="623">
        <v>0</v>
      </c>
      <c r="L20" s="623">
        <f>K20/J20*100</f>
        <v>0</v>
      </c>
    </row>
    <row r="21" spans="1:12" ht="15.75">
      <c r="A21" s="627"/>
      <c r="B21" s="628" t="s">
        <v>991</v>
      </c>
      <c r="C21" s="629"/>
      <c r="D21" s="851" t="s">
        <v>984</v>
      </c>
      <c r="E21" s="832">
        <f t="shared" si="1"/>
        <v>0</v>
      </c>
      <c r="F21" s="848">
        <v>2013</v>
      </c>
      <c r="G21" s="623"/>
      <c r="H21" s="852">
        <v>0</v>
      </c>
      <c r="I21" s="768"/>
      <c r="J21" s="766"/>
      <c r="K21" s="623"/>
      <c r="L21" s="623"/>
    </row>
    <row r="22" spans="1:12" ht="15.75">
      <c r="A22" s="627"/>
      <c r="B22" s="628" t="s">
        <v>992</v>
      </c>
      <c r="C22" s="629"/>
      <c r="D22" s="851" t="s">
        <v>989</v>
      </c>
      <c r="E22" s="832">
        <f t="shared" si="1"/>
        <v>1427</v>
      </c>
      <c r="F22" s="848">
        <v>2013</v>
      </c>
      <c r="G22" s="623"/>
      <c r="H22" s="852">
        <v>3000</v>
      </c>
      <c r="I22" s="768"/>
      <c r="J22" s="766">
        <v>1427</v>
      </c>
      <c r="K22" s="623">
        <v>997</v>
      </c>
      <c r="L22" s="623">
        <f>K22/J22*100</f>
        <v>69.866853538892784</v>
      </c>
    </row>
    <row r="23" spans="1:12" ht="31.5">
      <c r="A23" s="627"/>
      <c r="B23" s="628" t="s">
        <v>993</v>
      </c>
      <c r="C23" s="629"/>
      <c r="D23" s="851" t="s">
        <v>1359</v>
      </c>
      <c r="E23" s="832">
        <f t="shared" si="1"/>
        <v>0</v>
      </c>
      <c r="F23" s="848">
        <v>2013</v>
      </c>
      <c r="G23" s="623"/>
      <c r="H23" s="852">
        <v>0</v>
      </c>
      <c r="I23" s="768"/>
      <c r="J23" s="766"/>
      <c r="K23" s="623"/>
      <c r="L23" s="623"/>
    </row>
    <row r="24" spans="1:12" ht="31.5">
      <c r="A24" s="627"/>
      <c r="B24" s="628" t="s">
        <v>995</v>
      </c>
      <c r="C24" s="629"/>
      <c r="D24" s="851" t="s">
        <v>994</v>
      </c>
      <c r="E24" s="832">
        <f t="shared" si="1"/>
        <v>0</v>
      </c>
      <c r="F24" s="848">
        <v>2013</v>
      </c>
      <c r="G24" s="623"/>
      <c r="H24" s="852">
        <v>3000</v>
      </c>
      <c r="I24" s="768"/>
      <c r="J24" s="766">
        <v>0</v>
      </c>
      <c r="K24" s="623"/>
      <c r="L24" s="623"/>
    </row>
    <row r="25" spans="1:12" ht="15.75">
      <c r="A25" s="627"/>
      <c r="B25" s="628" t="s">
        <v>996</v>
      </c>
      <c r="C25" s="629"/>
      <c r="D25" s="854" t="s">
        <v>1691</v>
      </c>
      <c r="E25" s="832">
        <f t="shared" si="1"/>
        <v>254</v>
      </c>
      <c r="F25" s="630">
        <v>2013</v>
      </c>
      <c r="G25" s="623"/>
      <c r="H25" s="623"/>
      <c r="I25" s="768"/>
      <c r="J25" s="766">
        <v>254</v>
      </c>
      <c r="K25" s="623">
        <v>254</v>
      </c>
      <c r="L25" s="623">
        <f t="shared" ref="L25:L29" si="3">K25/J25*100</f>
        <v>100</v>
      </c>
    </row>
    <row r="26" spans="1:12" ht="15.75">
      <c r="A26" s="627"/>
      <c r="B26" s="628" t="s">
        <v>997</v>
      </c>
      <c r="C26" s="629"/>
      <c r="D26" s="631" t="s">
        <v>1694</v>
      </c>
      <c r="E26" s="832">
        <f t="shared" si="1"/>
        <v>6480</v>
      </c>
      <c r="F26" s="630">
        <v>2013</v>
      </c>
      <c r="G26" s="623"/>
      <c r="H26" s="623"/>
      <c r="I26" s="768"/>
      <c r="J26" s="766">
        <v>6480</v>
      </c>
      <c r="K26" s="623">
        <v>6480</v>
      </c>
      <c r="L26" s="623">
        <f t="shared" si="3"/>
        <v>100</v>
      </c>
    </row>
    <row r="27" spans="1:12" ht="15.75">
      <c r="A27" s="627"/>
      <c r="B27" s="628" t="s">
        <v>998</v>
      </c>
      <c r="C27" s="629"/>
      <c r="D27" s="631" t="s">
        <v>1695</v>
      </c>
      <c r="E27" s="832">
        <f t="shared" si="1"/>
        <v>7526</v>
      </c>
      <c r="F27" s="630">
        <v>2013</v>
      </c>
      <c r="G27" s="623"/>
      <c r="H27" s="623"/>
      <c r="I27" s="768"/>
      <c r="J27" s="766">
        <v>7526</v>
      </c>
      <c r="K27" s="623">
        <v>7526</v>
      </c>
      <c r="L27" s="623">
        <f t="shared" si="3"/>
        <v>100</v>
      </c>
    </row>
    <row r="28" spans="1:12" ht="15.75">
      <c r="A28" s="627"/>
      <c r="B28" s="628" t="s">
        <v>999</v>
      </c>
      <c r="C28" s="629"/>
      <c r="D28" s="631" t="s">
        <v>1698</v>
      </c>
      <c r="E28" s="832">
        <f t="shared" si="1"/>
        <v>588</v>
      </c>
      <c r="F28" s="630">
        <v>2013</v>
      </c>
      <c r="G28" s="623"/>
      <c r="H28" s="623"/>
      <c r="I28" s="768"/>
      <c r="J28" s="766">
        <v>588</v>
      </c>
      <c r="K28" s="623">
        <v>588</v>
      </c>
      <c r="L28" s="623">
        <f t="shared" si="3"/>
        <v>100</v>
      </c>
    </row>
    <row r="29" spans="1:12" ht="15.75">
      <c r="A29" s="627"/>
      <c r="B29" s="628" t="s">
        <v>1000</v>
      </c>
      <c r="C29" s="629"/>
      <c r="D29" s="631" t="s">
        <v>1769</v>
      </c>
      <c r="E29" s="832">
        <f t="shared" si="1"/>
        <v>6813</v>
      </c>
      <c r="F29" s="630">
        <v>2013</v>
      </c>
      <c r="G29" s="623"/>
      <c r="H29" s="623"/>
      <c r="I29" s="768"/>
      <c r="J29" s="766">
        <v>6813</v>
      </c>
      <c r="K29" s="623">
        <v>6813</v>
      </c>
      <c r="L29" s="623">
        <f t="shared" si="3"/>
        <v>100</v>
      </c>
    </row>
    <row r="30" spans="1:12" ht="15.75">
      <c r="A30" s="627"/>
      <c r="B30" s="628" t="s">
        <v>1001</v>
      </c>
      <c r="C30" s="629"/>
      <c r="D30" s="631" t="s">
        <v>1704</v>
      </c>
      <c r="E30" s="832">
        <f t="shared" ref="E30:E32" si="4">SUM(J30)</f>
        <v>220</v>
      </c>
      <c r="F30" s="630">
        <v>2013</v>
      </c>
      <c r="G30" s="623"/>
      <c r="H30" s="623"/>
      <c r="I30" s="768"/>
      <c r="J30" s="766">
        <v>220</v>
      </c>
      <c r="K30" s="623">
        <v>220</v>
      </c>
      <c r="L30" s="623">
        <f>K30/J30*100</f>
        <v>100</v>
      </c>
    </row>
    <row r="31" spans="1:12" ht="15.75">
      <c r="A31" s="627"/>
      <c r="B31" s="628" t="s">
        <v>1002</v>
      </c>
      <c r="C31" s="629"/>
      <c r="D31" s="631" t="s">
        <v>1714</v>
      </c>
      <c r="E31" s="832">
        <f t="shared" si="4"/>
        <v>1000</v>
      </c>
      <c r="F31" s="630">
        <v>2013</v>
      </c>
      <c r="G31" s="623"/>
      <c r="H31" s="623"/>
      <c r="I31" s="768"/>
      <c r="J31" s="766">
        <v>1000</v>
      </c>
      <c r="K31" s="623">
        <v>1000</v>
      </c>
      <c r="L31" s="623">
        <f>K31/J31*100</f>
        <v>100</v>
      </c>
    </row>
    <row r="32" spans="1:12" ht="15.75">
      <c r="A32" s="627"/>
      <c r="B32" s="628" t="s">
        <v>1003</v>
      </c>
      <c r="C32" s="629"/>
      <c r="D32" s="611" t="s">
        <v>1721</v>
      </c>
      <c r="E32" s="832">
        <f t="shared" si="4"/>
        <v>1877</v>
      </c>
      <c r="F32" s="630">
        <v>2013</v>
      </c>
      <c r="G32" s="623"/>
      <c r="H32" s="623"/>
      <c r="I32" s="768"/>
      <c r="J32" s="766">
        <v>1877</v>
      </c>
      <c r="K32" s="623">
        <v>1830</v>
      </c>
      <c r="L32" s="623">
        <f>K32/J32*100</f>
        <v>97.496004262120408</v>
      </c>
    </row>
    <row r="33" spans="1:12" ht="15.75">
      <c r="A33" s="627"/>
      <c r="B33" s="628" t="s">
        <v>1226</v>
      </c>
      <c r="C33" s="629"/>
      <c r="D33" s="631" t="s">
        <v>1859</v>
      </c>
      <c r="E33" s="623">
        <f t="shared" ref="E33:E40" si="5">SUM(J33)</f>
        <v>3324</v>
      </c>
      <c r="F33" s="630">
        <v>2013</v>
      </c>
      <c r="G33" s="623"/>
      <c r="H33" s="623"/>
      <c r="I33" s="768"/>
      <c r="J33" s="766">
        <v>3324</v>
      </c>
      <c r="K33" s="623">
        <v>3324</v>
      </c>
      <c r="L33" s="623">
        <f>K33/J33*100</f>
        <v>100</v>
      </c>
    </row>
    <row r="34" spans="1:12" ht="15.75">
      <c r="A34" s="627"/>
      <c r="B34" s="628" t="s">
        <v>1227</v>
      </c>
      <c r="C34" s="629"/>
      <c r="D34" s="631" t="s">
        <v>1860</v>
      </c>
      <c r="E34" s="623">
        <f t="shared" si="5"/>
        <v>1400</v>
      </c>
      <c r="F34" s="630">
        <v>2013</v>
      </c>
      <c r="G34" s="623"/>
      <c r="H34" s="623"/>
      <c r="I34" s="768"/>
      <c r="J34" s="766">
        <v>1400</v>
      </c>
      <c r="K34" s="623">
        <v>1400</v>
      </c>
      <c r="L34" s="623">
        <f>K34/J34*100</f>
        <v>100</v>
      </c>
    </row>
    <row r="35" spans="1:12" ht="15.75">
      <c r="A35" s="627"/>
      <c r="B35" s="628" t="s">
        <v>1233</v>
      </c>
      <c r="C35" s="629"/>
      <c r="D35" s="631" t="s">
        <v>1861</v>
      </c>
      <c r="E35" s="623">
        <f t="shared" si="5"/>
        <v>500</v>
      </c>
      <c r="F35" s="630">
        <v>2013</v>
      </c>
      <c r="G35" s="623"/>
      <c r="H35" s="623"/>
      <c r="I35" s="768"/>
      <c r="J35" s="766">
        <v>500</v>
      </c>
      <c r="K35" s="623">
        <v>494</v>
      </c>
      <c r="L35" s="623">
        <f t="shared" ref="L35:L36" si="6">K35/J35*100</f>
        <v>98.8</v>
      </c>
    </row>
    <row r="36" spans="1:12" ht="15.75">
      <c r="A36" s="627"/>
      <c r="B36" s="628" t="s">
        <v>1234</v>
      </c>
      <c r="C36" s="629"/>
      <c r="D36" s="631" t="s">
        <v>1862</v>
      </c>
      <c r="E36" s="623">
        <f t="shared" si="5"/>
        <v>31422</v>
      </c>
      <c r="F36" s="630">
        <v>2013</v>
      </c>
      <c r="G36" s="623"/>
      <c r="H36" s="623"/>
      <c r="I36" s="768"/>
      <c r="J36" s="766">
        <v>31422</v>
      </c>
      <c r="K36" s="623">
        <v>31422</v>
      </c>
      <c r="L36" s="623">
        <f t="shared" si="6"/>
        <v>100</v>
      </c>
    </row>
    <row r="37" spans="1:12" ht="15.75">
      <c r="A37" s="627"/>
      <c r="B37" s="628" t="s">
        <v>1955</v>
      </c>
      <c r="C37" s="629"/>
      <c r="D37" s="631" t="s">
        <v>1959</v>
      </c>
      <c r="E37" s="623">
        <f t="shared" si="5"/>
        <v>4261</v>
      </c>
      <c r="F37" s="630">
        <v>2013</v>
      </c>
      <c r="G37" s="623"/>
      <c r="H37" s="623"/>
      <c r="I37" s="768"/>
      <c r="J37" s="766">
        <v>4261</v>
      </c>
      <c r="K37" s="623">
        <v>4261</v>
      </c>
      <c r="L37" s="623">
        <f>K37/J37*100</f>
        <v>100</v>
      </c>
    </row>
    <row r="38" spans="1:12" ht="15.75">
      <c r="A38" s="627"/>
      <c r="B38" s="628" t="s">
        <v>1956</v>
      </c>
      <c r="C38" s="629"/>
      <c r="D38" s="631" t="s">
        <v>1960</v>
      </c>
      <c r="E38" s="623">
        <f t="shared" si="5"/>
        <v>158</v>
      </c>
      <c r="F38" s="630">
        <v>2013</v>
      </c>
      <c r="G38" s="623"/>
      <c r="H38" s="623"/>
      <c r="I38" s="768"/>
      <c r="J38" s="766">
        <v>158</v>
      </c>
      <c r="K38" s="623">
        <v>158</v>
      </c>
      <c r="L38" s="623">
        <f>K38/J38*100</f>
        <v>100</v>
      </c>
    </row>
    <row r="39" spans="1:12" ht="15.75">
      <c r="A39" s="627"/>
      <c r="B39" s="628" t="s">
        <v>1957</v>
      </c>
      <c r="C39" s="629"/>
      <c r="D39" s="631" t="s">
        <v>1961</v>
      </c>
      <c r="E39" s="623">
        <f t="shared" si="5"/>
        <v>1626</v>
      </c>
      <c r="F39" s="630">
        <v>2013</v>
      </c>
      <c r="G39" s="623"/>
      <c r="H39" s="623"/>
      <c r="I39" s="768"/>
      <c r="J39" s="766">
        <v>1626</v>
      </c>
      <c r="K39" s="623">
        <v>1626</v>
      </c>
      <c r="L39" s="623">
        <f t="shared" ref="L39:L40" si="7">K39/J39*100</f>
        <v>100</v>
      </c>
    </row>
    <row r="40" spans="1:12" ht="15.75">
      <c r="A40" s="627"/>
      <c r="B40" s="628" t="s">
        <v>1958</v>
      </c>
      <c r="C40" s="629"/>
      <c r="D40" s="631" t="s">
        <v>1962</v>
      </c>
      <c r="E40" s="623">
        <f t="shared" si="5"/>
        <v>50000</v>
      </c>
      <c r="F40" s="630">
        <v>2013</v>
      </c>
      <c r="G40" s="623"/>
      <c r="H40" s="623"/>
      <c r="I40" s="768"/>
      <c r="J40" s="766">
        <v>50000</v>
      </c>
      <c r="K40" s="623">
        <v>0</v>
      </c>
      <c r="L40" s="623">
        <f t="shared" si="7"/>
        <v>0</v>
      </c>
    </row>
    <row r="41" spans="1:12" ht="15.95" customHeight="1">
      <c r="A41" s="633" t="s">
        <v>5</v>
      </c>
      <c r="B41" s="629"/>
      <c r="C41" s="629"/>
      <c r="D41" s="829" t="s">
        <v>1004</v>
      </c>
      <c r="E41" s="846">
        <f>SUM(E42:E65)</f>
        <v>125128</v>
      </c>
      <c r="F41" s="608"/>
      <c r="G41" s="608"/>
      <c r="H41" s="610">
        <f>SUM(H42:H65)</f>
        <v>33000</v>
      </c>
      <c r="I41" s="610"/>
      <c r="J41" s="765">
        <f>SUM(J42:J75)</f>
        <v>125128</v>
      </c>
      <c r="K41" s="765">
        <f>SUM(K42:K75)</f>
        <v>121517</v>
      </c>
      <c r="L41" s="610">
        <f>K41/J41*100</f>
        <v>97.114155105172301</v>
      </c>
    </row>
    <row r="42" spans="1:12" ht="15.75">
      <c r="A42" s="627"/>
      <c r="B42" s="628" t="s">
        <v>302</v>
      </c>
      <c r="C42" s="629"/>
      <c r="D42" s="834" t="s">
        <v>1005</v>
      </c>
      <c r="E42" s="832">
        <f>SUM(J42)</f>
        <v>3611</v>
      </c>
      <c r="F42" s="848">
        <v>2013</v>
      </c>
      <c r="G42" s="623"/>
      <c r="H42" s="832">
        <v>5000</v>
      </c>
      <c r="I42" s="768"/>
      <c r="J42" s="766">
        <v>3611</v>
      </c>
      <c r="K42" s="623"/>
      <c r="L42" s="623">
        <f>K42/J42*100</f>
        <v>0</v>
      </c>
    </row>
    <row r="43" spans="1:12" ht="15.75">
      <c r="A43" s="627"/>
      <c r="B43" s="628" t="s">
        <v>304</v>
      </c>
      <c r="C43" s="629"/>
      <c r="D43" s="850" t="s">
        <v>1024</v>
      </c>
      <c r="E43" s="832">
        <f t="shared" ref="E43:E65" si="8">SUM(J43)</f>
        <v>302</v>
      </c>
      <c r="F43" s="848">
        <v>2013</v>
      </c>
      <c r="G43" s="623"/>
      <c r="H43" s="832">
        <v>1000</v>
      </c>
      <c r="I43" s="768"/>
      <c r="J43" s="766">
        <v>302</v>
      </c>
      <c r="K43" s="623">
        <v>302</v>
      </c>
      <c r="L43" s="623">
        <f>K43/J43*100</f>
        <v>100</v>
      </c>
    </row>
    <row r="44" spans="1:12" ht="15.75">
      <c r="A44" s="627"/>
      <c r="B44" s="628" t="s">
        <v>305</v>
      </c>
      <c r="C44" s="629"/>
      <c r="D44" s="834" t="s">
        <v>1360</v>
      </c>
      <c r="E44" s="832">
        <f t="shared" si="8"/>
        <v>107306</v>
      </c>
      <c r="F44" s="848">
        <v>2013</v>
      </c>
      <c r="G44" s="623"/>
      <c r="H44" s="832">
        <v>25000</v>
      </c>
      <c r="I44" s="768"/>
      <c r="J44" s="766">
        <v>107306</v>
      </c>
      <c r="K44" s="623">
        <v>107306</v>
      </c>
      <c r="L44" s="623">
        <f>K44/J44*100</f>
        <v>100</v>
      </c>
    </row>
    <row r="45" spans="1:12" ht="15.75">
      <c r="A45" s="627"/>
      <c r="B45" s="628" t="s">
        <v>306</v>
      </c>
      <c r="C45" s="629"/>
      <c r="D45" s="831" t="s">
        <v>1006</v>
      </c>
      <c r="E45" s="832">
        <f t="shared" si="8"/>
        <v>0</v>
      </c>
      <c r="F45" s="848"/>
      <c r="G45" s="623"/>
      <c r="H45" s="832">
        <v>0</v>
      </c>
      <c r="I45" s="768"/>
      <c r="J45" s="766"/>
      <c r="K45" s="623"/>
      <c r="L45" s="623"/>
    </row>
    <row r="46" spans="1:12" ht="15.75">
      <c r="A46" s="627"/>
      <c r="B46" s="628" t="s">
        <v>307</v>
      </c>
      <c r="C46" s="629"/>
      <c r="D46" s="831" t="s">
        <v>1361</v>
      </c>
      <c r="E46" s="832">
        <f t="shared" si="8"/>
        <v>0</v>
      </c>
      <c r="F46" s="848"/>
      <c r="G46" s="623"/>
      <c r="H46" s="832">
        <v>0</v>
      </c>
      <c r="I46" s="768"/>
      <c r="J46" s="766"/>
      <c r="K46" s="623"/>
      <c r="L46" s="623"/>
    </row>
    <row r="47" spans="1:12" ht="15.75">
      <c r="A47" s="627"/>
      <c r="B47" s="628" t="s">
        <v>308</v>
      </c>
      <c r="C47" s="629"/>
      <c r="D47" s="834" t="s">
        <v>1362</v>
      </c>
      <c r="E47" s="832">
        <f t="shared" si="8"/>
        <v>0</v>
      </c>
      <c r="F47" s="848"/>
      <c r="G47" s="623"/>
      <c r="H47" s="832">
        <v>0</v>
      </c>
      <c r="I47" s="768"/>
      <c r="J47" s="766"/>
      <c r="K47" s="623"/>
      <c r="L47" s="623"/>
    </row>
    <row r="48" spans="1:12" ht="15.75">
      <c r="A48" s="627"/>
      <c r="B48" s="628" t="s">
        <v>309</v>
      </c>
      <c r="C48" s="629"/>
      <c r="D48" s="851" t="s">
        <v>1363</v>
      </c>
      <c r="E48" s="832">
        <f t="shared" si="8"/>
        <v>5902</v>
      </c>
      <c r="F48" s="848">
        <v>2013</v>
      </c>
      <c r="G48" s="623"/>
      <c r="H48" s="852">
        <v>2000</v>
      </c>
      <c r="I48" s="768"/>
      <c r="J48" s="766">
        <v>5902</v>
      </c>
      <c r="K48" s="623">
        <v>5902</v>
      </c>
      <c r="L48" s="623">
        <f>K48/J48*100</f>
        <v>100</v>
      </c>
    </row>
    <row r="49" spans="1:12" ht="15.75">
      <c r="A49" s="627"/>
      <c r="B49" s="628" t="s">
        <v>1007</v>
      </c>
      <c r="C49" s="629"/>
      <c r="D49" s="834" t="s">
        <v>1008</v>
      </c>
      <c r="E49" s="832">
        <f t="shared" si="8"/>
        <v>0</v>
      </c>
      <c r="F49" s="848"/>
      <c r="G49" s="623"/>
      <c r="H49" s="832">
        <v>0</v>
      </c>
      <c r="I49" s="768">
        <f t="shared" ref="I49:I60" si="9">E49-G49-H49</f>
        <v>0</v>
      </c>
      <c r="J49" s="766"/>
      <c r="K49" s="623"/>
      <c r="L49" s="623"/>
    </row>
    <row r="50" spans="1:12" ht="15.75">
      <c r="A50" s="627"/>
      <c r="B50" s="628" t="s">
        <v>1009</v>
      </c>
      <c r="C50" s="629"/>
      <c r="D50" s="834" t="s">
        <v>1012</v>
      </c>
      <c r="E50" s="832">
        <f t="shared" si="8"/>
        <v>0</v>
      </c>
      <c r="F50" s="848"/>
      <c r="G50" s="623"/>
      <c r="H50" s="832">
        <v>0</v>
      </c>
      <c r="I50" s="768">
        <f t="shared" si="9"/>
        <v>0</v>
      </c>
      <c r="J50" s="766"/>
      <c r="K50" s="623"/>
      <c r="L50" s="623"/>
    </row>
    <row r="51" spans="1:12" ht="15.75">
      <c r="A51" s="627"/>
      <c r="B51" s="628" t="s">
        <v>1010</v>
      </c>
      <c r="C51" s="629"/>
      <c r="D51" s="851" t="s">
        <v>1364</v>
      </c>
      <c r="E51" s="832">
        <f t="shared" si="8"/>
        <v>0</v>
      </c>
      <c r="F51" s="848"/>
      <c r="G51" s="623"/>
      <c r="H51" s="832">
        <v>0</v>
      </c>
      <c r="I51" s="768">
        <f t="shared" si="9"/>
        <v>0</v>
      </c>
      <c r="J51" s="766"/>
      <c r="K51" s="623"/>
      <c r="L51" s="623"/>
    </row>
    <row r="52" spans="1:12" ht="15" customHeight="1">
      <c r="A52" s="627"/>
      <c r="B52" s="628" t="s">
        <v>1011</v>
      </c>
      <c r="C52" s="629"/>
      <c r="D52" s="831" t="s">
        <v>1365</v>
      </c>
      <c r="E52" s="832">
        <f t="shared" si="8"/>
        <v>0</v>
      </c>
      <c r="F52" s="848"/>
      <c r="G52" s="623"/>
      <c r="H52" s="832">
        <v>0</v>
      </c>
      <c r="I52" s="768">
        <f t="shared" si="9"/>
        <v>0</v>
      </c>
      <c r="J52" s="766"/>
      <c r="K52" s="623"/>
      <c r="L52" s="623"/>
    </row>
    <row r="53" spans="1:12" ht="15.75" customHeight="1">
      <c r="A53" s="627"/>
      <c r="B53" s="628" t="s">
        <v>1013</v>
      </c>
      <c r="C53" s="629"/>
      <c r="D53" s="831" t="s">
        <v>1017</v>
      </c>
      <c r="E53" s="832">
        <f t="shared" si="8"/>
        <v>0</v>
      </c>
      <c r="F53" s="848"/>
      <c r="G53" s="623"/>
      <c r="H53" s="832">
        <v>0</v>
      </c>
      <c r="I53" s="768">
        <f t="shared" si="9"/>
        <v>0</v>
      </c>
      <c r="J53" s="766"/>
      <c r="K53" s="623"/>
      <c r="L53" s="623"/>
    </row>
    <row r="54" spans="1:12" ht="15.75">
      <c r="A54" s="627"/>
      <c r="B54" s="628" t="s">
        <v>1014</v>
      </c>
      <c r="C54" s="629"/>
      <c r="D54" s="831" t="s">
        <v>1019</v>
      </c>
      <c r="E54" s="832">
        <f t="shared" si="8"/>
        <v>0</v>
      </c>
      <c r="F54" s="848"/>
      <c r="G54" s="623"/>
      <c r="H54" s="832">
        <v>0</v>
      </c>
      <c r="I54" s="768">
        <f t="shared" si="9"/>
        <v>0</v>
      </c>
      <c r="J54" s="766"/>
      <c r="K54" s="623"/>
      <c r="L54" s="623"/>
    </row>
    <row r="55" spans="1:12" ht="15.75">
      <c r="A55" s="627"/>
      <c r="B55" s="628" t="s">
        <v>1015</v>
      </c>
      <c r="C55" s="629"/>
      <c r="D55" s="834" t="s">
        <v>1366</v>
      </c>
      <c r="E55" s="832">
        <f t="shared" si="8"/>
        <v>0</v>
      </c>
      <c r="F55" s="848"/>
      <c r="G55" s="623"/>
      <c r="H55" s="832">
        <v>0</v>
      </c>
      <c r="I55" s="768">
        <f t="shared" si="9"/>
        <v>0</v>
      </c>
      <c r="J55" s="766"/>
      <c r="K55" s="623"/>
      <c r="L55" s="623"/>
    </row>
    <row r="56" spans="1:12" ht="15.75" customHeight="1">
      <c r="A56" s="627"/>
      <c r="B56" s="628" t="s">
        <v>1016</v>
      </c>
      <c r="C56" s="629"/>
      <c r="D56" s="834" t="s">
        <v>1367</v>
      </c>
      <c r="E56" s="832">
        <f t="shared" si="8"/>
        <v>3086</v>
      </c>
      <c r="F56" s="848">
        <v>2013</v>
      </c>
      <c r="G56" s="623"/>
      <c r="H56" s="832">
        <v>0</v>
      </c>
      <c r="I56" s="768"/>
      <c r="J56" s="766">
        <v>3086</v>
      </c>
      <c r="K56" s="623">
        <v>3086</v>
      </c>
      <c r="L56" s="623">
        <f>K56/J56*100</f>
        <v>100</v>
      </c>
    </row>
    <row r="57" spans="1:12" ht="15.75">
      <c r="A57" s="627"/>
      <c r="B57" s="628" t="s">
        <v>1018</v>
      </c>
      <c r="C57" s="629"/>
      <c r="D57" s="834" t="s">
        <v>1368</v>
      </c>
      <c r="E57" s="832">
        <f t="shared" si="8"/>
        <v>0</v>
      </c>
      <c r="F57" s="848"/>
      <c r="G57" s="623"/>
      <c r="H57" s="832">
        <v>0</v>
      </c>
      <c r="I57" s="768">
        <f t="shared" si="9"/>
        <v>0</v>
      </c>
      <c r="J57" s="766"/>
      <c r="K57" s="623"/>
      <c r="L57" s="623"/>
    </row>
    <row r="58" spans="1:12" ht="15.75">
      <c r="A58" s="627"/>
      <c r="B58" s="628" t="s">
        <v>1020</v>
      </c>
      <c r="C58" s="629"/>
      <c r="D58" s="834" t="s">
        <v>1369</v>
      </c>
      <c r="E58" s="832">
        <f t="shared" si="8"/>
        <v>0</v>
      </c>
      <c r="F58" s="848"/>
      <c r="G58" s="623"/>
      <c r="H58" s="832">
        <v>0</v>
      </c>
      <c r="I58" s="768">
        <f t="shared" si="9"/>
        <v>0</v>
      </c>
      <c r="J58" s="766"/>
      <c r="K58" s="623"/>
      <c r="L58" s="623"/>
    </row>
    <row r="59" spans="1:12" ht="15.75">
      <c r="A59" s="627"/>
      <c r="B59" s="628" t="s">
        <v>1021</v>
      </c>
      <c r="C59" s="629"/>
      <c r="D59" s="831" t="s">
        <v>1029</v>
      </c>
      <c r="E59" s="832">
        <f t="shared" si="8"/>
        <v>0</v>
      </c>
      <c r="F59" s="848"/>
      <c r="G59" s="623"/>
      <c r="H59" s="832">
        <v>0</v>
      </c>
      <c r="I59" s="768">
        <f t="shared" si="9"/>
        <v>0</v>
      </c>
      <c r="J59" s="766"/>
      <c r="K59" s="623"/>
      <c r="L59" s="623"/>
    </row>
    <row r="60" spans="1:12" ht="15.75">
      <c r="A60" s="627"/>
      <c r="B60" s="628" t="s">
        <v>1022</v>
      </c>
      <c r="C60" s="629"/>
      <c r="D60" s="831" t="s">
        <v>1370</v>
      </c>
      <c r="E60" s="832">
        <f t="shared" si="8"/>
        <v>0</v>
      </c>
      <c r="F60" s="848"/>
      <c r="G60" s="623"/>
      <c r="H60" s="832">
        <v>0</v>
      </c>
      <c r="I60" s="768">
        <f t="shared" si="9"/>
        <v>0</v>
      </c>
      <c r="J60" s="766"/>
      <c r="K60" s="623"/>
      <c r="L60" s="623"/>
    </row>
    <row r="61" spans="1:12" ht="15.75">
      <c r="A61" s="627"/>
      <c r="B61" s="628" t="s">
        <v>1023</v>
      </c>
      <c r="C61" s="629"/>
      <c r="D61" s="856" t="s">
        <v>1699</v>
      </c>
      <c r="E61" s="832">
        <f t="shared" si="8"/>
        <v>1576</v>
      </c>
      <c r="F61" s="630">
        <v>2013</v>
      </c>
      <c r="G61" s="623"/>
      <c r="H61" s="623">
        <v>0</v>
      </c>
      <c r="I61" s="768"/>
      <c r="J61" s="766">
        <v>1576</v>
      </c>
      <c r="K61" s="623">
        <v>1576</v>
      </c>
      <c r="L61" s="623">
        <f>K61/J61*100</f>
        <v>100</v>
      </c>
    </row>
    <row r="62" spans="1:12" ht="15.75">
      <c r="A62" s="627"/>
      <c r="B62" s="628" t="s">
        <v>1025</v>
      </c>
      <c r="C62" s="629"/>
      <c r="D62" s="632" t="s">
        <v>1700</v>
      </c>
      <c r="E62" s="832">
        <f t="shared" si="8"/>
        <v>3224</v>
      </c>
      <c r="F62" s="630">
        <v>2013</v>
      </c>
      <c r="G62" s="623"/>
      <c r="H62" s="623"/>
      <c r="I62" s="768"/>
      <c r="J62" s="766">
        <v>3224</v>
      </c>
      <c r="K62" s="623">
        <v>3224</v>
      </c>
      <c r="L62" s="623">
        <f>K62/J62*100</f>
        <v>100</v>
      </c>
    </row>
    <row r="63" spans="1:12" ht="15.75">
      <c r="A63" s="627"/>
      <c r="B63" s="628" t="s">
        <v>1026</v>
      </c>
      <c r="C63" s="629"/>
      <c r="D63" s="632" t="s">
        <v>1863</v>
      </c>
      <c r="E63" s="832">
        <f t="shared" si="8"/>
        <v>121</v>
      </c>
      <c r="F63" s="630">
        <v>2013</v>
      </c>
      <c r="G63" s="623"/>
      <c r="H63" s="623"/>
      <c r="I63" s="768"/>
      <c r="J63" s="766">
        <v>121</v>
      </c>
      <c r="K63" s="623">
        <v>121</v>
      </c>
      <c r="L63" s="623">
        <f>K63/J63*100</f>
        <v>100</v>
      </c>
    </row>
    <row r="64" spans="1:12" ht="15.75" hidden="1">
      <c r="A64" s="627"/>
      <c r="B64" s="628" t="s">
        <v>1027</v>
      </c>
      <c r="C64" s="629"/>
      <c r="D64" s="632"/>
      <c r="E64" s="832">
        <f t="shared" si="8"/>
        <v>0</v>
      </c>
      <c r="F64" s="630"/>
      <c r="G64" s="623"/>
      <c r="H64" s="623"/>
      <c r="I64" s="768"/>
      <c r="J64" s="766"/>
      <c r="K64" s="623"/>
      <c r="L64" s="623"/>
    </row>
    <row r="65" spans="1:16" ht="15.75" hidden="1">
      <c r="A65" s="627"/>
      <c r="B65" s="628" t="s">
        <v>1028</v>
      </c>
      <c r="C65" s="629"/>
      <c r="D65" s="632"/>
      <c r="E65" s="832">
        <f t="shared" si="8"/>
        <v>0</v>
      </c>
      <c r="F65" s="630"/>
      <c r="G65" s="623"/>
      <c r="H65" s="623"/>
      <c r="I65" s="768"/>
      <c r="J65" s="766"/>
      <c r="K65" s="623"/>
      <c r="L65" s="623"/>
    </row>
    <row r="66" spans="1:16" ht="15.75" hidden="1">
      <c r="A66" s="627"/>
      <c r="B66" s="628" t="s">
        <v>1030</v>
      </c>
      <c r="C66" s="629"/>
      <c r="D66" s="611"/>
      <c r="E66" s="623"/>
      <c r="F66" s="630"/>
      <c r="G66" s="623"/>
      <c r="H66" s="623"/>
      <c r="I66" s="768"/>
      <c r="J66" s="766"/>
      <c r="K66" s="623"/>
      <c r="L66" s="623"/>
      <c r="M66" s="1961"/>
      <c r="N66" s="1974"/>
      <c r="O66" s="1974"/>
      <c r="P66" s="1974"/>
    </row>
    <row r="67" spans="1:16" ht="15.75" hidden="1">
      <c r="A67" s="627"/>
      <c r="B67" s="628" t="s">
        <v>1031</v>
      </c>
      <c r="C67" s="629"/>
      <c r="D67" s="611"/>
      <c r="E67" s="623"/>
      <c r="F67" s="630"/>
      <c r="G67" s="623"/>
      <c r="H67" s="623"/>
      <c r="I67" s="768"/>
      <c r="J67" s="766"/>
      <c r="K67" s="623"/>
      <c r="L67" s="623"/>
    </row>
    <row r="68" spans="1:16" ht="15.75" hidden="1">
      <c r="A68" s="627"/>
      <c r="B68" s="628" t="s">
        <v>1032</v>
      </c>
      <c r="C68" s="629"/>
      <c r="D68" s="611"/>
      <c r="E68" s="623"/>
      <c r="F68" s="630"/>
      <c r="G68" s="623"/>
      <c r="H68" s="623"/>
      <c r="I68" s="768"/>
      <c r="J68" s="766"/>
      <c r="K68" s="623"/>
      <c r="L68" s="623"/>
    </row>
    <row r="69" spans="1:16" ht="15.75" hidden="1">
      <c r="A69" s="627"/>
      <c r="B69" s="628" t="s">
        <v>1033</v>
      </c>
      <c r="C69" s="629"/>
      <c r="D69" s="611"/>
      <c r="E69" s="623"/>
      <c r="F69" s="630"/>
      <c r="G69" s="623"/>
      <c r="H69" s="623"/>
      <c r="I69" s="768"/>
      <c r="J69" s="766"/>
      <c r="K69" s="623"/>
      <c r="L69" s="623"/>
    </row>
    <row r="70" spans="1:16" ht="15.75" hidden="1">
      <c r="A70" s="627"/>
      <c r="B70" s="628" t="s">
        <v>1034</v>
      </c>
      <c r="C70" s="629"/>
      <c r="D70" s="611"/>
      <c r="E70" s="623"/>
      <c r="F70" s="630"/>
      <c r="G70" s="623"/>
      <c r="H70" s="623"/>
      <c r="I70" s="768"/>
      <c r="J70" s="766"/>
      <c r="K70" s="623"/>
      <c r="L70" s="623"/>
    </row>
    <row r="71" spans="1:16" ht="15.75" hidden="1">
      <c r="A71" s="627"/>
      <c r="B71" s="628" t="s">
        <v>1228</v>
      </c>
      <c r="C71" s="629"/>
      <c r="D71" s="611"/>
      <c r="E71" s="623"/>
      <c r="F71" s="630"/>
      <c r="G71" s="623"/>
      <c r="H71" s="623"/>
      <c r="I71" s="768"/>
      <c r="J71" s="766"/>
      <c r="K71" s="623"/>
      <c r="L71" s="623"/>
    </row>
    <row r="72" spans="1:16" ht="15.75" hidden="1">
      <c r="A72" s="627"/>
      <c r="B72" s="628" t="s">
        <v>1229</v>
      </c>
      <c r="C72" s="629"/>
      <c r="D72" s="611"/>
      <c r="E72" s="623"/>
      <c r="F72" s="630"/>
      <c r="G72" s="623"/>
      <c r="H72" s="623"/>
      <c r="I72" s="768"/>
      <c r="J72" s="766"/>
      <c r="K72" s="623"/>
      <c r="L72" s="623"/>
    </row>
    <row r="73" spans="1:16" ht="15.75" hidden="1">
      <c r="A73" s="627"/>
      <c r="B73" s="628" t="s">
        <v>1230</v>
      </c>
      <c r="C73" s="629"/>
      <c r="D73" s="611"/>
      <c r="E73" s="623"/>
      <c r="F73" s="630"/>
      <c r="G73" s="623"/>
      <c r="H73" s="623"/>
      <c r="I73" s="768"/>
      <c r="J73" s="766"/>
      <c r="K73" s="623"/>
      <c r="L73" s="623"/>
    </row>
    <row r="74" spans="1:16" ht="15.75" hidden="1">
      <c r="A74" s="627"/>
      <c r="B74" s="628" t="s">
        <v>1231</v>
      </c>
      <c r="C74" s="629"/>
      <c r="D74" s="611"/>
      <c r="E74" s="623"/>
      <c r="F74" s="630"/>
      <c r="G74" s="623"/>
      <c r="H74" s="623"/>
      <c r="I74" s="768"/>
      <c r="J74" s="766"/>
      <c r="K74" s="623"/>
      <c r="L74" s="623"/>
    </row>
    <row r="75" spans="1:16" ht="15.75" hidden="1">
      <c r="A75" s="627"/>
      <c r="B75" s="628" t="s">
        <v>1232</v>
      </c>
      <c r="C75" s="629"/>
      <c r="D75" s="611"/>
      <c r="E75" s="623"/>
      <c r="F75" s="630"/>
      <c r="G75" s="623"/>
      <c r="H75" s="623"/>
      <c r="I75" s="768"/>
      <c r="J75" s="766"/>
      <c r="K75" s="623"/>
      <c r="L75" s="623"/>
    </row>
    <row r="76" spans="1:16" ht="16.5">
      <c r="A76" s="633" t="s">
        <v>19</v>
      </c>
      <c r="B76" s="629"/>
      <c r="C76" s="629"/>
      <c r="D76" s="829" t="s">
        <v>1035</v>
      </c>
      <c r="E76" s="846">
        <f>SUM(E77:E81)</f>
        <v>12291</v>
      </c>
      <c r="F76" s="846"/>
      <c r="G76" s="846"/>
      <c r="H76" s="846">
        <f>SUM(H77:H81)</f>
        <v>10000</v>
      </c>
      <c r="I76" s="846"/>
      <c r="J76" s="846">
        <f t="shared" ref="J76:K76" si="10">SUM(J77:J81)</f>
        <v>12291</v>
      </c>
      <c r="K76" s="846">
        <f t="shared" si="10"/>
        <v>8524</v>
      </c>
      <c r="L76" s="846">
        <f>K76/J76*100</f>
        <v>69.35155805060613</v>
      </c>
    </row>
    <row r="77" spans="1:16" ht="15.75">
      <c r="A77" s="627"/>
      <c r="B77" s="628" t="s">
        <v>1036</v>
      </c>
      <c r="C77" s="629"/>
      <c r="D77" s="850" t="s">
        <v>1371</v>
      </c>
      <c r="E77" s="857">
        <f>SUM(J77)</f>
        <v>12132</v>
      </c>
      <c r="F77" s="848">
        <v>2013</v>
      </c>
      <c r="G77" s="623"/>
      <c r="H77" s="857">
        <v>10000</v>
      </c>
      <c r="I77" s="768"/>
      <c r="J77" s="766">
        <v>12132</v>
      </c>
      <c r="K77" s="623">
        <v>8365</v>
      </c>
      <c r="L77" s="623">
        <f>K77/J77*100</f>
        <v>68.949884602703591</v>
      </c>
    </row>
    <row r="78" spans="1:16" ht="15.75">
      <c r="A78" s="627"/>
      <c r="B78" s="628" t="s">
        <v>809</v>
      </c>
      <c r="C78" s="629"/>
      <c r="D78" s="831" t="s">
        <v>1372</v>
      </c>
      <c r="E78" s="857">
        <f t="shared" ref="E78:E81" si="11">SUM(J78)</f>
        <v>0</v>
      </c>
      <c r="F78" s="848"/>
      <c r="G78" s="623"/>
      <c r="H78" s="832">
        <v>0</v>
      </c>
      <c r="I78" s="768"/>
      <c r="J78" s="766">
        <v>0</v>
      </c>
      <c r="K78" s="623">
        <v>0</v>
      </c>
      <c r="L78" s="623"/>
    </row>
    <row r="79" spans="1:16" ht="15.75">
      <c r="A79" s="627"/>
      <c r="B79" s="628" t="s">
        <v>1038</v>
      </c>
      <c r="C79" s="629"/>
      <c r="D79" s="831" t="s">
        <v>1037</v>
      </c>
      <c r="E79" s="857">
        <f t="shared" si="11"/>
        <v>159</v>
      </c>
      <c r="F79" s="848">
        <v>2013</v>
      </c>
      <c r="G79" s="623"/>
      <c r="H79" s="832">
        <v>0</v>
      </c>
      <c r="I79" s="768"/>
      <c r="J79" s="766">
        <v>159</v>
      </c>
      <c r="K79" s="623">
        <v>159</v>
      </c>
      <c r="L79" s="623">
        <f>K79/J79*100</f>
        <v>100</v>
      </c>
    </row>
    <row r="80" spans="1:16" ht="15.75">
      <c r="A80" s="627"/>
      <c r="B80" s="628" t="s">
        <v>1040</v>
      </c>
      <c r="C80" s="629"/>
      <c r="D80" s="831" t="s">
        <v>1039</v>
      </c>
      <c r="E80" s="857">
        <f t="shared" si="11"/>
        <v>0</v>
      </c>
      <c r="F80" s="848"/>
      <c r="G80" s="623"/>
      <c r="H80" s="832">
        <v>0</v>
      </c>
      <c r="I80" s="768">
        <f t="shared" ref="I80:I85" si="12">E80-G80-H80</f>
        <v>0</v>
      </c>
      <c r="J80" s="766">
        <v>0</v>
      </c>
      <c r="K80" s="623">
        <v>0</v>
      </c>
      <c r="L80" s="623"/>
    </row>
    <row r="81" spans="1:19" ht="15.75">
      <c r="A81" s="627"/>
      <c r="B81" s="628" t="s">
        <v>1042</v>
      </c>
      <c r="C81" s="629"/>
      <c r="D81" s="831" t="s">
        <v>1041</v>
      </c>
      <c r="E81" s="857">
        <f t="shared" si="11"/>
        <v>0</v>
      </c>
      <c r="F81" s="848"/>
      <c r="G81" s="623"/>
      <c r="H81" s="832">
        <v>0</v>
      </c>
      <c r="I81" s="768">
        <f t="shared" si="12"/>
        <v>0</v>
      </c>
      <c r="J81" s="766">
        <v>0</v>
      </c>
      <c r="K81" s="623">
        <v>0</v>
      </c>
      <c r="L81" s="623"/>
    </row>
    <row r="82" spans="1:19" ht="15.75" hidden="1">
      <c r="A82" s="627"/>
      <c r="B82" s="628" t="s">
        <v>1043</v>
      </c>
      <c r="C82" s="629"/>
      <c r="D82" s="856"/>
      <c r="E82" s="855">
        <v>0</v>
      </c>
      <c r="F82" s="630"/>
      <c r="G82" s="623"/>
      <c r="H82" s="623">
        <v>0</v>
      </c>
      <c r="I82" s="768">
        <f t="shared" si="12"/>
        <v>0</v>
      </c>
      <c r="J82" s="766">
        <v>0</v>
      </c>
      <c r="K82" s="623">
        <v>0</v>
      </c>
      <c r="L82" s="623"/>
    </row>
    <row r="83" spans="1:19" ht="16.5">
      <c r="A83" s="633" t="s">
        <v>149</v>
      </c>
      <c r="B83" s="629"/>
      <c r="C83" s="629"/>
      <c r="D83" s="829" t="s">
        <v>1044</v>
      </c>
      <c r="E83" s="858">
        <f>SUM(E84:E122)</f>
        <v>456711</v>
      </c>
      <c r="F83" s="858"/>
      <c r="G83" s="858"/>
      <c r="H83" s="858">
        <f>SUM(H84:H89)</f>
        <v>23500</v>
      </c>
      <c r="I83" s="610"/>
      <c r="J83" s="765">
        <f>SUM(J84:J122)</f>
        <v>456711</v>
      </c>
      <c r="K83" s="765">
        <f>SUM(K84:K122)</f>
        <v>295586</v>
      </c>
      <c r="L83" s="610">
        <f>K83/J83*100</f>
        <v>64.720578221238384</v>
      </c>
    </row>
    <row r="84" spans="1:19" ht="15.75">
      <c r="A84" s="627"/>
      <c r="B84" s="628" t="s">
        <v>151</v>
      </c>
      <c r="C84" s="629"/>
      <c r="D84" s="834" t="s">
        <v>1045</v>
      </c>
      <c r="E84" s="832">
        <f>SUM(J84)</f>
        <v>0</v>
      </c>
      <c r="F84" s="848"/>
      <c r="G84" s="623">
        <v>0</v>
      </c>
      <c r="H84" s="832">
        <v>0</v>
      </c>
      <c r="I84" s="768">
        <f t="shared" si="12"/>
        <v>0</v>
      </c>
      <c r="J84" s="766">
        <v>0</v>
      </c>
      <c r="K84" s="623">
        <v>0</v>
      </c>
      <c r="L84" s="623"/>
    </row>
    <row r="85" spans="1:19" ht="15.75">
      <c r="A85" s="627"/>
      <c r="B85" s="628" t="s">
        <v>153</v>
      </c>
      <c r="C85" s="629"/>
      <c r="D85" s="850" t="s">
        <v>982</v>
      </c>
      <c r="E85" s="832">
        <f t="shared" ref="E85:E90" si="13">SUM(J85)</f>
        <v>0</v>
      </c>
      <c r="F85" s="848"/>
      <c r="G85" s="623"/>
      <c r="H85" s="832">
        <v>0</v>
      </c>
      <c r="I85" s="768">
        <f t="shared" si="12"/>
        <v>0</v>
      </c>
      <c r="J85" s="766"/>
      <c r="K85" s="623"/>
      <c r="L85" s="623"/>
    </row>
    <row r="86" spans="1:19" ht="15.75">
      <c r="A86" s="627"/>
      <c r="B86" s="628" t="s">
        <v>155</v>
      </c>
      <c r="C86" s="629"/>
      <c r="D86" s="851" t="s">
        <v>1046</v>
      </c>
      <c r="E86" s="832">
        <f t="shared" si="13"/>
        <v>8802</v>
      </c>
      <c r="F86" s="848">
        <v>2013</v>
      </c>
      <c r="G86" s="623"/>
      <c r="H86" s="852">
        <v>6500</v>
      </c>
      <c r="I86" s="768"/>
      <c r="J86" s="766">
        <v>8802</v>
      </c>
      <c r="K86" s="623">
        <v>8802</v>
      </c>
      <c r="L86" s="623">
        <f t="shared" ref="L86:L132" si="14">K86/J86*100</f>
        <v>100</v>
      </c>
    </row>
    <row r="87" spans="1:19" ht="15.75">
      <c r="A87" s="627"/>
      <c r="B87" s="628" t="s">
        <v>1047</v>
      </c>
      <c r="C87" s="629"/>
      <c r="D87" s="834" t="s">
        <v>1373</v>
      </c>
      <c r="E87" s="832">
        <f t="shared" si="13"/>
        <v>0</v>
      </c>
      <c r="F87" s="848">
        <v>2013</v>
      </c>
      <c r="G87" s="623"/>
      <c r="H87" s="832">
        <v>1000</v>
      </c>
      <c r="I87" s="768"/>
      <c r="J87" s="766">
        <v>0</v>
      </c>
      <c r="K87" s="623"/>
      <c r="L87" s="623"/>
    </row>
    <row r="88" spans="1:19" ht="15.75" customHeight="1">
      <c r="A88" s="627"/>
      <c r="B88" s="628" t="s">
        <v>1048</v>
      </c>
      <c r="C88" s="629"/>
      <c r="D88" s="834" t="s">
        <v>1374</v>
      </c>
      <c r="E88" s="832">
        <f t="shared" si="13"/>
        <v>0</v>
      </c>
      <c r="F88" s="848">
        <v>2013</v>
      </c>
      <c r="G88" s="623"/>
      <c r="H88" s="832">
        <v>8000</v>
      </c>
      <c r="I88" s="768"/>
      <c r="J88" s="766">
        <v>0</v>
      </c>
      <c r="K88" s="623"/>
      <c r="L88" s="623"/>
    </row>
    <row r="89" spans="1:19" ht="15.75">
      <c r="A89" s="627"/>
      <c r="B89" s="628" t="s">
        <v>1049</v>
      </c>
      <c r="C89" s="629"/>
      <c r="D89" s="834" t="s">
        <v>1375</v>
      </c>
      <c r="E89" s="832">
        <f t="shared" si="13"/>
        <v>0</v>
      </c>
      <c r="F89" s="848">
        <v>2013</v>
      </c>
      <c r="G89" s="623"/>
      <c r="H89" s="832">
        <v>8000</v>
      </c>
      <c r="I89" s="768"/>
      <c r="J89" s="766"/>
      <c r="K89" s="623"/>
      <c r="L89" s="623"/>
    </row>
    <row r="90" spans="1:19" ht="15.75">
      <c r="A90" s="627"/>
      <c r="B90" s="628" t="s">
        <v>1204</v>
      </c>
      <c r="C90" s="629"/>
      <c r="D90" s="851" t="s">
        <v>1689</v>
      </c>
      <c r="E90" s="832">
        <f t="shared" si="13"/>
        <v>223660</v>
      </c>
      <c r="F90" s="848">
        <v>2013</v>
      </c>
      <c r="G90" s="623"/>
      <c r="H90" s="852">
        <v>0</v>
      </c>
      <c r="I90" s="768"/>
      <c r="J90" s="766">
        <v>223660</v>
      </c>
      <c r="K90" s="623">
        <v>223660</v>
      </c>
      <c r="L90" s="623">
        <f t="shared" si="14"/>
        <v>100</v>
      </c>
    </row>
    <row r="91" spans="1:19" ht="15.75">
      <c r="A91" s="627"/>
      <c r="B91" s="628" t="s">
        <v>1235</v>
      </c>
      <c r="C91" s="629"/>
      <c r="D91" s="834" t="s">
        <v>1690</v>
      </c>
      <c r="E91" s="832">
        <f t="shared" ref="E91:E121" si="15">SUM(J91)</f>
        <v>200</v>
      </c>
      <c r="F91" s="630">
        <v>2013</v>
      </c>
      <c r="G91" s="623"/>
      <c r="H91" s="623">
        <v>0</v>
      </c>
      <c r="I91" s="768"/>
      <c r="J91" s="766">
        <v>200</v>
      </c>
      <c r="K91" s="623"/>
      <c r="L91" s="623">
        <f t="shared" ref="L91:L95" si="16">K91/J91*100</f>
        <v>0</v>
      </c>
      <c r="M91" s="1961"/>
      <c r="N91" s="1974"/>
      <c r="O91" s="1974"/>
      <c r="P91" s="1974"/>
      <c r="Q91" s="1974"/>
      <c r="R91" s="1974"/>
      <c r="S91" s="1974"/>
    </row>
    <row r="92" spans="1:19" ht="15.75">
      <c r="A92" s="627"/>
      <c r="B92" s="628" t="s">
        <v>1236</v>
      </c>
      <c r="C92" s="629"/>
      <c r="D92" s="834" t="s">
        <v>1692</v>
      </c>
      <c r="E92" s="832">
        <f t="shared" si="15"/>
        <v>145792</v>
      </c>
      <c r="F92" s="630">
        <v>2013</v>
      </c>
      <c r="G92" s="623"/>
      <c r="H92" s="623"/>
      <c r="I92" s="768"/>
      <c r="J92" s="766">
        <v>145792</v>
      </c>
      <c r="K92" s="623"/>
      <c r="L92" s="623">
        <f t="shared" si="16"/>
        <v>0</v>
      </c>
      <c r="M92" s="1961"/>
      <c r="N92" s="1974"/>
      <c r="O92" s="1974"/>
      <c r="P92" s="1974"/>
      <c r="Q92" s="1974"/>
      <c r="R92" s="1974"/>
      <c r="S92" s="1974"/>
    </row>
    <row r="93" spans="1:19" ht="15.75">
      <c r="A93" s="627"/>
      <c r="B93" s="628" t="s">
        <v>1693</v>
      </c>
      <c r="C93" s="629"/>
      <c r="D93" s="834" t="s">
        <v>1696</v>
      </c>
      <c r="E93" s="832">
        <f t="shared" si="15"/>
        <v>5240</v>
      </c>
      <c r="F93" s="630">
        <v>2013</v>
      </c>
      <c r="G93" s="623"/>
      <c r="H93" s="623"/>
      <c r="I93" s="768"/>
      <c r="J93" s="766">
        <v>5240</v>
      </c>
      <c r="K93" s="623">
        <v>4271</v>
      </c>
      <c r="L93" s="623">
        <f t="shared" si="16"/>
        <v>81.507633587786259</v>
      </c>
      <c r="M93" s="1961"/>
      <c r="N93" s="1974"/>
      <c r="O93" s="1974"/>
      <c r="P93" s="1974"/>
      <c r="Q93" s="1974"/>
      <c r="R93" s="1974"/>
      <c r="S93" s="1974"/>
    </row>
    <row r="94" spans="1:19" ht="15.75">
      <c r="A94" s="627"/>
      <c r="B94" s="628" t="s">
        <v>1701</v>
      </c>
      <c r="C94" s="629"/>
      <c r="D94" s="834" t="s">
        <v>1697</v>
      </c>
      <c r="E94" s="832">
        <f t="shared" si="15"/>
        <v>1481</v>
      </c>
      <c r="F94" s="630">
        <v>2013</v>
      </c>
      <c r="G94" s="623"/>
      <c r="H94" s="623"/>
      <c r="I94" s="768"/>
      <c r="J94" s="766">
        <v>1481</v>
      </c>
      <c r="K94" s="623"/>
      <c r="L94" s="623">
        <f t="shared" si="16"/>
        <v>0</v>
      </c>
      <c r="M94" s="1961"/>
      <c r="N94" s="1974"/>
      <c r="O94" s="1974"/>
      <c r="P94" s="1974"/>
      <c r="Q94" s="1974"/>
      <c r="R94" s="1974"/>
      <c r="S94" s="1974"/>
    </row>
    <row r="95" spans="1:19" ht="15.75">
      <c r="A95" s="627"/>
      <c r="B95" s="628" t="s">
        <v>1702</v>
      </c>
      <c r="C95" s="629"/>
      <c r="D95" s="834" t="s">
        <v>1703</v>
      </c>
      <c r="E95" s="832">
        <f t="shared" si="15"/>
        <v>849</v>
      </c>
      <c r="F95" s="630">
        <v>2013</v>
      </c>
      <c r="G95" s="623"/>
      <c r="H95" s="623"/>
      <c r="I95" s="768"/>
      <c r="J95" s="766">
        <v>849</v>
      </c>
      <c r="K95" s="623">
        <v>849</v>
      </c>
      <c r="L95" s="623">
        <f t="shared" si="16"/>
        <v>100</v>
      </c>
      <c r="M95" s="1961"/>
      <c r="N95" s="1974"/>
      <c r="O95" s="1974"/>
      <c r="P95" s="1974"/>
      <c r="Q95" s="1974"/>
      <c r="R95" s="1974"/>
      <c r="S95" s="1974"/>
    </row>
    <row r="96" spans="1:19" ht="15.75">
      <c r="A96" s="627"/>
      <c r="B96" s="628" t="s">
        <v>1707</v>
      </c>
      <c r="C96" s="629"/>
      <c r="D96" s="834" t="s">
        <v>1709</v>
      </c>
      <c r="E96" s="832">
        <f t="shared" si="15"/>
        <v>0</v>
      </c>
      <c r="F96" s="630">
        <v>2013</v>
      </c>
      <c r="G96" s="623"/>
      <c r="H96" s="623">
        <v>0</v>
      </c>
      <c r="I96" s="768"/>
      <c r="J96" s="766">
        <v>0</v>
      </c>
      <c r="K96" s="623"/>
      <c r="L96" s="623"/>
      <c r="M96" s="1961"/>
      <c r="N96" s="1974"/>
      <c r="O96" s="1974"/>
      <c r="P96" s="1974"/>
      <c r="Q96" s="1974"/>
      <c r="R96" s="1974"/>
      <c r="S96" s="1974"/>
    </row>
    <row r="97" spans="1:19" ht="15.75">
      <c r="A97" s="627"/>
      <c r="B97" s="628" t="s">
        <v>1708</v>
      </c>
      <c r="C97" s="629"/>
      <c r="D97" s="834" t="s">
        <v>1710</v>
      </c>
      <c r="E97" s="832">
        <f t="shared" si="15"/>
        <v>70</v>
      </c>
      <c r="F97" s="630">
        <v>2013</v>
      </c>
      <c r="G97" s="623"/>
      <c r="H97" s="623"/>
      <c r="I97" s="768"/>
      <c r="J97" s="766">
        <v>70</v>
      </c>
      <c r="K97" s="623">
        <v>70</v>
      </c>
      <c r="L97" s="623">
        <f t="shared" ref="L97:L106" si="17">K97/J97*100</f>
        <v>100</v>
      </c>
      <c r="M97" s="1961"/>
      <c r="N97" s="1974"/>
      <c r="O97" s="1974"/>
      <c r="P97" s="1974"/>
      <c r="Q97" s="1974"/>
      <c r="R97" s="1974"/>
      <c r="S97" s="1974"/>
    </row>
    <row r="98" spans="1:19" ht="15.75">
      <c r="A98" s="627"/>
      <c r="B98" s="628" t="s">
        <v>1711</v>
      </c>
      <c r="C98" s="629"/>
      <c r="D98" s="834" t="s">
        <v>1988</v>
      </c>
      <c r="E98" s="832">
        <f t="shared" si="15"/>
        <v>941</v>
      </c>
      <c r="F98" s="630">
        <v>2013</v>
      </c>
      <c r="G98" s="623"/>
      <c r="H98" s="623"/>
      <c r="I98" s="768"/>
      <c r="J98" s="766">
        <v>941</v>
      </c>
      <c r="K98" s="623">
        <v>864</v>
      </c>
      <c r="L98" s="623">
        <f t="shared" si="17"/>
        <v>91.817215727948991</v>
      </c>
      <c r="M98" s="1961"/>
      <c r="N98" s="1974"/>
      <c r="O98" s="1974"/>
      <c r="P98" s="1974"/>
      <c r="Q98" s="1974"/>
      <c r="R98" s="1974"/>
      <c r="S98" s="1974"/>
    </row>
    <row r="99" spans="1:19" ht="15.75">
      <c r="A99" s="627"/>
      <c r="B99" s="628" t="s">
        <v>1712</v>
      </c>
      <c r="C99" s="629"/>
      <c r="D99" s="834" t="s">
        <v>1713</v>
      </c>
      <c r="E99" s="832">
        <f t="shared" si="15"/>
        <v>256</v>
      </c>
      <c r="F99" s="630">
        <v>2013</v>
      </c>
      <c r="G99" s="623"/>
      <c r="H99" s="623"/>
      <c r="I99" s="768"/>
      <c r="J99" s="766">
        <v>256</v>
      </c>
      <c r="K99" s="623">
        <v>256</v>
      </c>
      <c r="L99" s="623">
        <f t="shared" si="17"/>
        <v>100</v>
      </c>
      <c r="M99" s="1961"/>
      <c r="N99" s="1974"/>
      <c r="O99" s="1974"/>
      <c r="P99" s="1974"/>
      <c r="Q99" s="1974"/>
      <c r="R99" s="1974"/>
      <c r="S99" s="1974"/>
    </row>
    <row r="100" spans="1:19" ht="15.75">
      <c r="A100" s="627"/>
      <c r="B100" s="628" t="s">
        <v>1864</v>
      </c>
      <c r="C100" s="629"/>
      <c r="D100" s="834" t="s">
        <v>1871</v>
      </c>
      <c r="E100" s="832">
        <f t="shared" si="15"/>
        <v>319</v>
      </c>
      <c r="F100" s="630">
        <v>2013</v>
      </c>
      <c r="G100" s="623"/>
      <c r="H100" s="623"/>
      <c r="I100" s="768"/>
      <c r="J100" s="766">
        <v>319</v>
      </c>
      <c r="K100" s="623">
        <v>319</v>
      </c>
      <c r="L100" s="623">
        <f t="shared" si="17"/>
        <v>100</v>
      </c>
      <c r="M100" s="1961"/>
      <c r="N100" s="1974"/>
      <c r="O100" s="1974"/>
      <c r="P100" s="1974"/>
      <c r="Q100" s="1974"/>
      <c r="R100" s="1974"/>
      <c r="S100" s="1974"/>
    </row>
    <row r="101" spans="1:19" ht="15.75">
      <c r="A101" s="627"/>
      <c r="B101" s="628" t="s">
        <v>1865</v>
      </c>
      <c r="C101" s="629"/>
      <c r="D101" s="834" t="s">
        <v>1872</v>
      </c>
      <c r="E101" s="832">
        <f t="shared" si="15"/>
        <v>100</v>
      </c>
      <c r="F101" s="630">
        <v>2013</v>
      </c>
      <c r="G101" s="623"/>
      <c r="H101" s="623"/>
      <c r="I101" s="768"/>
      <c r="J101" s="766">
        <v>100</v>
      </c>
      <c r="K101" s="623">
        <v>100</v>
      </c>
      <c r="L101" s="623">
        <f t="shared" si="17"/>
        <v>100</v>
      </c>
      <c r="M101" s="1961"/>
      <c r="N101" s="1974"/>
      <c r="O101" s="1974"/>
      <c r="P101" s="1974"/>
      <c r="Q101" s="1974"/>
      <c r="R101" s="1974"/>
      <c r="S101" s="1974"/>
    </row>
    <row r="102" spans="1:19" ht="15.75">
      <c r="A102" s="627"/>
      <c r="B102" s="628" t="s">
        <v>1866</v>
      </c>
      <c r="C102" s="629"/>
      <c r="D102" s="834" t="s">
        <v>1981</v>
      </c>
      <c r="E102" s="832">
        <f t="shared" si="15"/>
        <v>109</v>
      </c>
      <c r="F102" s="630">
        <v>2013</v>
      </c>
      <c r="G102" s="623"/>
      <c r="H102" s="623"/>
      <c r="I102" s="768"/>
      <c r="J102" s="766">
        <v>109</v>
      </c>
      <c r="K102" s="623">
        <v>109</v>
      </c>
      <c r="L102" s="623">
        <f t="shared" si="17"/>
        <v>100</v>
      </c>
      <c r="M102" s="1961"/>
      <c r="N102" s="1974"/>
      <c r="O102" s="1974"/>
      <c r="P102" s="1974"/>
      <c r="Q102" s="1974"/>
      <c r="R102" s="1974"/>
      <c r="S102" s="1974"/>
    </row>
    <row r="103" spans="1:19" ht="15.75">
      <c r="A103" s="627"/>
      <c r="B103" s="628" t="s">
        <v>1867</v>
      </c>
      <c r="C103" s="629"/>
      <c r="D103" s="834" t="s">
        <v>1982</v>
      </c>
      <c r="E103" s="832">
        <f t="shared" si="15"/>
        <v>1174</v>
      </c>
      <c r="F103" s="630">
        <v>2013</v>
      </c>
      <c r="G103" s="623"/>
      <c r="H103" s="623"/>
      <c r="I103" s="768"/>
      <c r="J103" s="766">
        <v>1174</v>
      </c>
      <c r="K103" s="623">
        <v>1174</v>
      </c>
      <c r="L103" s="623">
        <f t="shared" si="17"/>
        <v>100</v>
      </c>
      <c r="M103" s="1961"/>
      <c r="N103" s="1974"/>
      <c r="O103" s="1974"/>
      <c r="P103" s="1974"/>
      <c r="Q103" s="1974"/>
      <c r="R103" s="1974"/>
      <c r="S103" s="1974"/>
    </row>
    <row r="104" spans="1:19" ht="15.75">
      <c r="A104" s="627"/>
      <c r="B104" s="628" t="s">
        <v>1868</v>
      </c>
      <c r="C104" s="629"/>
      <c r="D104" s="834" t="s">
        <v>1873</v>
      </c>
      <c r="E104" s="832">
        <f t="shared" si="15"/>
        <v>221</v>
      </c>
      <c r="F104" s="630">
        <v>2013</v>
      </c>
      <c r="G104" s="623"/>
      <c r="H104" s="623"/>
      <c r="I104" s="768"/>
      <c r="J104" s="766">
        <v>221</v>
      </c>
      <c r="K104" s="623">
        <v>221</v>
      </c>
      <c r="L104" s="623">
        <f t="shared" si="17"/>
        <v>100</v>
      </c>
      <c r="M104" s="1961"/>
      <c r="N104" s="1974"/>
      <c r="O104" s="1974"/>
      <c r="P104" s="1974"/>
      <c r="Q104" s="1974"/>
      <c r="R104" s="1974"/>
      <c r="S104" s="1974"/>
    </row>
    <row r="105" spans="1:19" ht="15.75">
      <c r="A105" s="627"/>
      <c r="B105" s="628" t="s">
        <v>1869</v>
      </c>
      <c r="C105" s="629"/>
      <c r="D105" s="834" t="s">
        <v>1874</v>
      </c>
      <c r="E105" s="832">
        <f t="shared" si="15"/>
        <v>98</v>
      </c>
      <c r="F105" s="630">
        <v>2013</v>
      </c>
      <c r="G105" s="623"/>
      <c r="H105" s="623"/>
      <c r="I105" s="768"/>
      <c r="J105" s="766">
        <v>98</v>
      </c>
      <c r="K105" s="623">
        <v>98</v>
      </c>
      <c r="L105" s="623">
        <f t="shared" si="17"/>
        <v>100</v>
      </c>
      <c r="M105" s="1961"/>
      <c r="N105" s="1974"/>
      <c r="O105" s="1974"/>
      <c r="P105" s="1974"/>
      <c r="Q105" s="1974"/>
      <c r="R105" s="1974"/>
      <c r="S105" s="1974"/>
    </row>
    <row r="106" spans="1:19" ht="15.75">
      <c r="A106" s="627"/>
      <c r="B106" s="628" t="s">
        <v>1870</v>
      </c>
      <c r="C106" s="629"/>
      <c r="D106" s="834" t="s">
        <v>1875</v>
      </c>
      <c r="E106" s="832">
        <f t="shared" si="15"/>
        <v>45750</v>
      </c>
      <c r="F106" s="630">
        <v>2013</v>
      </c>
      <c r="G106" s="623"/>
      <c r="H106" s="623"/>
      <c r="I106" s="768"/>
      <c r="J106" s="766">
        <v>45750</v>
      </c>
      <c r="K106" s="623">
        <v>45750</v>
      </c>
      <c r="L106" s="623">
        <f t="shared" si="17"/>
        <v>100</v>
      </c>
      <c r="M106" s="1961"/>
      <c r="N106" s="1974"/>
      <c r="O106" s="1974"/>
      <c r="P106" s="1974"/>
      <c r="Q106" s="1974"/>
      <c r="R106" s="1974"/>
      <c r="S106" s="1974"/>
    </row>
    <row r="107" spans="1:19" ht="15.75">
      <c r="A107" s="627"/>
      <c r="B107" s="628" t="s">
        <v>1963</v>
      </c>
      <c r="C107" s="629"/>
      <c r="D107" s="834" t="s">
        <v>1979</v>
      </c>
      <c r="E107" s="832">
        <f t="shared" si="15"/>
        <v>160</v>
      </c>
      <c r="F107" s="630">
        <v>2013</v>
      </c>
      <c r="G107" s="623"/>
      <c r="H107" s="623">
        <v>0</v>
      </c>
      <c r="I107" s="768"/>
      <c r="J107" s="766">
        <v>160</v>
      </c>
      <c r="K107" s="623">
        <v>160</v>
      </c>
      <c r="L107" s="623">
        <f t="shared" si="14"/>
        <v>100</v>
      </c>
      <c r="M107" s="1961"/>
      <c r="N107" s="1974"/>
      <c r="O107" s="1974"/>
      <c r="P107" s="1974"/>
      <c r="Q107" s="1974"/>
      <c r="R107" s="1974"/>
      <c r="S107" s="1974"/>
    </row>
    <row r="108" spans="1:19" ht="15.75">
      <c r="A108" s="627"/>
      <c r="B108" s="628" t="s">
        <v>1964</v>
      </c>
      <c r="C108" s="629"/>
      <c r="D108" s="834" t="s">
        <v>1980</v>
      </c>
      <c r="E108" s="832">
        <f t="shared" si="15"/>
        <v>4454</v>
      </c>
      <c r="F108" s="630">
        <v>2013</v>
      </c>
      <c r="G108" s="623"/>
      <c r="H108" s="623"/>
      <c r="I108" s="768"/>
      <c r="J108" s="766">
        <v>4454</v>
      </c>
      <c r="K108" s="623">
        <v>4454</v>
      </c>
      <c r="L108" s="623">
        <f t="shared" si="14"/>
        <v>100</v>
      </c>
      <c r="M108" s="1961"/>
      <c r="N108" s="1974"/>
      <c r="O108" s="1974"/>
      <c r="P108" s="1974"/>
      <c r="Q108" s="1974"/>
      <c r="R108" s="1974"/>
      <c r="S108" s="1974"/>
    </row>
    <row r="109" spans="1:19" ht="15.75">
      <c r="A109" s="627"/>
      <c r="B109" s="628" t="s">
        <v>1965</v>
      </c>
      <c r="C109" s="629"/>
      <c r="D109" s="834" t="s">
        <v>1989</v>
      </c>
      <c r="E109" s="832">
        <f t="shared" si="15"/>
        <v>365</v>
      </c>
      <c r="F109" s="630">
        <v>2013</v>
      </c>
      <c r="G109" s="623"/>
      <c r="H109" s="623"/>
      <c r="I109" s="768"/>
      <c r="J109" s="766">
        <v>365</v>
      </c>
      <c r="K109" s="623">
        <v>365</v>
      </c>
      <c r="L109" s="623">
        <f t="shared" si="14"/>
        <v>100</v>
      </c>
      <c r="M109" s="1961"/>
      <c r="N109" s="1974"/>
      <c r="O109" s="1974"/>
      <c r="P109" s="1974"/>
      <c r="Q109" s="1974"/>
      <c r="R109" s="1974"/>
      <c r="S109" s="1974"/>
    </row>
    <row r="110" spans="1:19" ht="15.75">
      <c r="A110" s="627"/>
      <c r="B110" s="628" t="s">
        <v>1966</v>
      </c>
      <c r="C110" s="629"/>
      <c r="D110" s="834" t="s">
        <v>1983</v>
      </c>
      <c r="E110" s="832">
        <f t="shared" si="15"/>
        <v>79</v>
      </c>
      <c r="F110" s="630">
        <v>2013</v>
      </c>
      <c r="G110" s="623"/>
      <c r="H110" s="623"/>
      <c r="I110" s="768"/>
      <c r="J110" s="766">
        <v>79</v>
      </c>
      <c r="K110" s="623">
        <v>79</v>
      </c>
      <c r="L110" s="623">
        <f t="shared" si="14"/>
        <v>100</v>
      </c>
      <c r="M110" s="1961"/>
      <c r="N110" s="1974"/>
      <c r="O110" s="1974"/>
      <c r="P110" s="1974"/>
      <c r="Q110" s="1974"/>
      <c r="R110" s="1974"/>
      <c r="S110" s="1974"/>
    </row>
    <row r="111" spans="1:19" ht="15.75">
      <c r="A111" s="627"/>
      <c r="B111" s="628" t="s">
        <v>1967</v>
      </c>
      <c r="C111" s="629"/>
      <c r="D111" s="834" t="s">
        <v>1984</v>
      </c>
      <c r="E111" s="832">
        <f t="shared" si="15"/>
        <v>71</v>
      </c>
      <c r="F111" s="630">
        <v>2013</v>
      </c>
      <c r="G111" s="623"/>
      <c r="H111" s="623"/>
      <c r="I111" s="768"/>
      <c r="J111" s="766">
        <v>71</v>
      </c>
      <c r="K111" s="623">
        <v>71</v>
      </c>
      <c r="L111" s="623">
        <f t="shared" si="14"/>
        <v>100</v>
      </c>
      <c r="M111" s="1961"/>
      <c r="N111" s="1974"/>
      <c r="O111" s="1974"/>
      <c r="P111" s="1974"/>
      <c r="Q111" s="1974"/>
      <c r="R111" s="1974"/>
      <c r="S111" s="1974"/>
    </row>
    <row r="112" spans="1:19" ht="15.75">
      <c r="A112" s="627"/>
      <c r="B112" s="628" t="s">
        <v>1968</v>
      </c>
      <c r="C112" s="629"/>
      <c r="D112" s="834" t="s">
        <v>1985</v>
      </c>
      <c r="E112" s="832">
        <f t="shared" si="15"/>
        <v>1498</v>
      </c>
      <c r="F112" s="630">
        <v>2013</v>
      </c>
      <c r="G112" s="623"/>
      <c r="H112" s="623">
        <v>0</v>
      </c>
      <c r="I112" s="768"/>
      <c r="J112" s="766">
        <v>1498</v>
      </c>
      <c r="K112" s="623">
        <v>1498</v>
      </c>
      <c r="L112" s="623">
        <f t="shared" si="14"/>
        <v>100</v>
      </c>
      <c r="M112" s="1961"/>
      <c r="N112" s="1974"/>
      <c r="O112" s="1974"/>
      <c r="P112" s="1974"/>
      <c r="Q112" s="1974"/>
      <c r="R112" s="1974"/>
      <c r="S112" s="1974"/>
    </row>
    <row r="113" spans="1:19" ht="15.75">
      <c r="A113" s="627"/>
      <c r="B113" s="628" t="s">
        <v>1969</v>
      </c>
      <c r="C113" s="629"/>
      <c r="D113" s="834" t="s">
        <v>1986</v>
      </c>
      <c r="E113" s="832">
        <f t="shared" si="15"/>
        <v>99</v>
      </c>
      <c r="F113" s="630">
        <v>2013</v>
      </c>
      <c r="G113" s="623"/>
      <c r="H113" s="623"/>
      <c r="I113" s="768"/>
      <c r="J113" s="766">
        <v>99</v>
      </c>
      <c r="K113" s="623">
        <v>99</v>
      </c>
      <c r="L113" s="623">
        <f t="shared" si="14"/>
        <v>100</v>
      </c>
      <c r="M113" s="1961"/>
      <c r="N113" s="1974"/>
      <c r="O113" s="1974"/>
      <c r="P113" s="1974"/>
      <c r="Q113" s="1974"/>
      <c r="R113" s="1974"/>
      <c r="S113" s="1974"/>
    </row>
    <row r="114" spans="1:19" ht="15.75">
      <c r="A114" s="627"/>
      <c r="B114" s="628" t="s">
        <v>1970</v>
      </c>
      <c r="C114" s="629"/>
      <c r="D114" s="834" t="s">
        <v>1987</v>
      </c>
      <c r="E114" s="832">
        <f t="shared" si="15"/>
        <v>89</v>
      </c>
      <c r="F114" s="630">
        <v>2013</v>
      </c>
      <c r="G114" s="623"/>
      <c r="H114" s="623"/>
      <c r="I114" s="768"/>
      <c r="J114" s="766">
        <v>89</v>
      </c>
      <c r="K114" s="623">
        <v>89</v>
      </c>
      <c r="L114" s="623">
        <f t="shared" si="14"/>
        <v>100</v>
      </c>
      <c r="M114" s="1961"/>
      <c r="N114" s="1974"/>
      <c r="O114" s="1974"/>
      <c r="P114" s="1974"/>
      <c r="Q114" s="1974"/>
      <c r="R114" s="1974"/>
      <c r="S114" s="1974"/>
    </row>
    <row r="115" spans="1:19" ht="15.75">
      <c r="A115" s="627"/>
      <c r="B115" s="628" t="s">
        <v>1971</v>
      </c>
      <c r="C115" s="629"/>
      <c r="D115" s="834" t="s">
        <v>1990</v>
      </c>
      <c r="E115" s="832">
        <f t="shared" si="15"/>
        <v>124</v>
      </c>
      <c r="F115" s="630">
        <v>2013</v>
      </c>
      <c r="G115" s="623"/>
      <c r="H115" s="623"/>
      <c r="I115" s="768"/>
      <c r="J115" s="766">
        <v>124</v>
      </c>
      <c r="K115" s="623">
        <v>124</v>
      </c>
      <c r="L115" s="623">
        <f t="shared" ref="L115:L118" si="18">K115/J115*100</f>
        <v>100</v>
      </c>
      <c r="M115" s="1961"/>
      <c r="N115" s="1974"/>
      <c r="O115" s="1974"/>
      <c r="P115" s="1974"/>
      <c r="Q115" s="1974"/>
      <c r="R115" s="1974"/>
      <c r="S115" s="1974"/>
    </row>
    <row r="116" spans="1:19" ht="15.75">
      <c r="A116" s="627"/>
      <c r="B116" s="628" t="s">
        <v>1972</v>
      </c>
      <c r="C116" s="629"/>
      <c r="D116" s="834" t="s">
        <v>1991</v>
      </c>
      <c r="E116" s="832">
        <f t="shared" si="15"/>
        <v>441</v>
      </c>
      <c r="F116" s="630">
        <v>2013</v>
      </c>
      <c r="G116" s="623"/>
      <c r="H116" s="623"/>
      <c r="I116" s="768"/>
      <c r="J116" s="766">
        <v>441</v>
      </c>
      <c r="K116" s="623">
        <v>441</v>
      </c>
      <c r="L116" s="623">
        <f t="shared" si="18"/>
        <v>100</v>
      </c>
      <c r="M116" s="1961"/>
      <c r="N116" s="1974"/>
      <c r="O116" s="1974"/>
      <c r="P116" s="1974"/>
      <c r="Q116" s="1974"/>
      <c r="R116" s="1974"/>
      <c r="S116" s="1974"/>
    </row>
    <row r="117" spans="1:19" ht="15.75">
      <c r="A117" s="627"/>
      <c r="B117" s="628" t="s">
        <v>1973</v>
      </c>
      <c r="C117" s="629"/>
      <c r="D117" s="834" t="s">
        <v>1992</v>
      </c>
      <c r="E117" s="832">
        <f t="shared" si="15"/>
        <v>97</v>
      </c>
      <c r="F117" s="630">
        <v>2013</v>
      </c>
      <c r="G117" s="623"/>
      <c r="H117" s="623"/>
      <c r="I117" s="768"/>
      <c r="J117" s="766">
        <v>97</v>
      </c>
      <c r="K117" s="623">
        <v>97</v>
      </c>
      <c r="L117" s="623">
        <f t="shared" si="18"/>
        <v>100</v>
      </c>
      <c r="M117" s="1961"/>
      <c r="N117" s="1974"/>
      <c r="O117" s="1974"/>
      <c r="P117" s="1974"/>
      <c r="Q117" s="1974"/>
      <c r="R117" s="1974"/>
      <c r="S117" s="1974"/>
    </row>
    <row r="118" spans="1:19" ht="15.75">
      <c r="A118" s="627"/>
      <c r="B118" s="628" t="s">
        <v>1974</v>
      </c>
      <c r="C118" s="629"/>
      <c r="D118" s="834" t="s">
        <v>1993</v>
      </c>
      <c r="E118" s="832">
        <f t="shared" si="15"/>
        <v>166</v>
      </c>
      <c r="F118" s="630">
        <v>2013</v>
      </c>
      <c r="G118" s="623"/>
      <c r="H118" s="623"/>
      <c r="I118" s="768"/>
      <c r="J118" s="766">
        <v>166</v>
      </c>
      <c r="K118" s="623">
        <v>166</v>
      </c>
      <c r="L118" s="623">
        <f t="shared" si="18"/>
        <v>100</v>
      </c>
      <c r="M118" s="1961"/>
      <c r="N118" s="1974"/>
      <c r="O118" s="1974"/>
      <c r="P118" s="1974"/>
      <c r="Q118" s="1974"/>
      <c r="R118" s="1974"/>
      <c r="S118" s="1974"/>
    </row>
    <row r="119" spans="1:19" ht="15.75">
      <c r="A119" s="627"/>
      <c r="B119" s="628" t="s">
        <v>1975</v>
      </c>
      <c r="C119" s="629"/>
      <c r="D119" s="834" t="s">
        <v>1994</v>
      </c>
      <c r="E119" s="832">
        <f t="shared" si="15"/>
        <v>951</v>
      </c>
      <c r="F119" s="630">
        <v>2013</v>
      </c>
      <c r="G119" s="623"/>
      <c r="H119" s="623"/>
      <c r="I119" s="768"/>
      <c r="J119" s="766">
        <v>951</v>
      </c>
      <c r="K119" s="623">
        <v>951</v>
      </c>
      <c r="L119" s="623">
        <f t="shared" si="14"/>
        <v>100</v>
      </c>
      <c r="M119" s="1961"/>
      <c r="N119" s="1974"/>
      <c r="O119" s="1974"/>
      <c r="P119" s="1974"/>
      <c r="Q119" s="1974"/>
      <c r="R119" s="1974"/>
      <c r="S119" s="1974"/>
    </row>
    <row r="120" spans="1:19" ht="15.75">
      <c r="A120" s="627"/>
      <c r="B120" s="628" t="s">
        <v>1976</v>
      </c>
      <c r="C120" s="629"/>
      <c r="D120" s="834" t="s">
        <v>1995</v>
      </c>
      <c r="E120" s="832">
        <f t="shared" si="15"/>
        <v>555</v>
      </c>
      <c r="F120" s="630">
        <v>2013</v>
      </c>
      <c r="G120" s="623"/>
      <c r="H120" s="623"/>
      <c r="I120" s="768"/>
      <c r="J120" s="766">
        <v>555</v>
      </c>
      <c r="K120" s="623">
        <v>449</v>
      </c>
      <c r="L120" s="623">
        <f t="shared" ref="L120:L121" si="19">K120/J120*100</f>
        <v>80.900900900900893</v>
      </c>
      <c r="M120" s="1961"/>
      <c r="N120" s="1974"/>
      <c r="O120" s="1974"/>
      <c r="P120" s="1974"/>
      <c r="Q120" s="1974"/>
      <c r="R120" s="1974"/>
      <c r="S120" s="1974"/>
    </row>
    <row r="121" spans="1:19" ht="15.75">
      <c r="A121" s="627"/>
      <c r="B121" s="628" t="s">
        <v>1977</v>
      </c>
      <c r="C121" s="629"/>
      <c r="D121" s="834" t="s">
        <v>1996</v>
      </c>
      <c r="E121" s="832">
        <f t="shared" si="15"/>
        <v>12500</v>
      </c>
      <c r="F121" s="630">
        <v>2013</v>
      </c>
      <c r="G121" s="623"/>
      <c r="H121" s="623"/>
      <c r="I121" s="768"/>
      <c r="J121" s="766">
        <v>12500</v>
      </c>
      <c r="K121" s="623">
        <v>0</v>
      </c>
      <c r="L121" s="623">
        <f t="shared" si="19"/>
        <v>0</v>
      </c>
      <c r="M121" s="1961"/>
      <c r="N121" s="1974"/>
      <c r="O121" s="1974"/>
      <c r="P121" s="1974"/>
      <c r="Q121" s="1974"/>
      <c r="R121" s="1974"/>
      <c r="S121" s="1974"/>
    </row>
    <row r="122" spans="1:19" ht="15.75" hidden="1">
      <c r="A122" s="627"/>
      <c r="B122" s="628" t="s">
        <v>1978</v>
      </c>
      <c r="C122" s="629"/>
      <c r="D122" s="834" t="s">
        <v>1875</v>
      </c>
      <c r="E122" s="832"/>
      <c r="F122" s="630">
        <v>2013</v>
      </c>
      <c r="G122" s="623"/>
      <c r="H122" s="623"/>
      <c r="I122" s="768"/>
      <c r="J122" s="766"/>
      <c r="K122" s="623"/>
      <c r="L122" s="623"/>
      <c r="M122" s="1961"/>
      <c r="N122" s="1974"/>
      <c r="O122" s="1974"/>
      <c r="P122" s="1974"/>
      <c r="Q122" s="1974"/>
      <c r="R122" s="1974"/>
      <c r="S122" s="1974"/>
    </row>
    <row r="123" spans="1:19" s="598" customFormat="1" ht="19.5" customHeight="1">
      <c r="A123" s="1969" t="s">
        <v>1050</v>
      </c>
      <c r="B123" s="1969"/>
      <c r="C123" s="1969"/>
      <c r="D123" s="1970"/>
      <c r="E123" s="765">
        <f>SUM(E180+E124+E139+E146+E149+E152+E158+E162+E173+E175+E178)</f>
        <v>27586</v>
      </c>
      <c r="F123" s="610"/>
      <c r="G123" s="610"/>
      <c r="H123" s="610">
        <f>SUM(H124)</f>
        <v>24500</v>
      </c>
      <c r="I123" s="610"/>
      <c r="J123" s="765">
        <f>SUM(J180+J124+J139+J146+J149+J152+J158+J162+J173+J175+J178)</f>
        <v>27586</v>
      </c>
      <c r="K123" s="610">
        <f>SUM(K180+K124+K139+K146+K149+K152+K158+K162+K173+K175+K178)</f>
        <v>27586</v>
      </c>
      <c r="L123" s="1013">
        <f t="shared" si="14"/>
        <v>100</v>
      </c>
    </row>
    <row r="124" spans="1:19" ht="16.5">
      <c r="A124" s="635" t="s">
        <v>38</v>
      </c>
      <c r="B124" s="636"/>
      <c r="C124" s="637"/>
      <c r="D124" s="829" t="s">
        <v>761</v>
      </c>
      <c r="E124" s="858">
        <f>SUM(E125:E138)</f>
        <v>8018</v>
      </c>
      <c r="F124" s="858"/>
      <c r="G124" s="858"/>
      <c r="H124" s="858">
        <f>SUM(H125:H138)</f>
        <v>24500</v>
      </c>
      <c r="I124" s="608"/>
      <c r="J124" s="765">
        <f>SUM(J125:J138)</f>
        <v>8018</v>
      </c>
      <c r="K124" s="610">
        <f>SUM(K125:K138)</f>
        <v>8018</v>
      </c>
      <c r="L124" s="1013">
        <f t="shared" si="14"/>
        <v>100</v>
      </c>
    </row>
    <row r="125" spans="1:19" ht="15.75">
      <c r="A125" s="627"/>
      <c r="B125" s="628" t="s">
        <v>1051</v>
      </c>
      <c r="C125" s="629"/>
      <c r="D125" s="834" t="s">
        <v>1052</v>
      </c>
      <c r="E125" s="832">
        <f>SUM(J125)</f>
        <v>0</v>
      </c>
      <c r="F125" s="848">
        <v>2013</v>
      </c>
      <c r="G125" s="623"/>
      <c r="H125" s="832">
        <v>16000</v>
      </c>
      <c r="I125" s="768"/>
      <c r="J125" s="766">
        <v>0</v>
      </c>
      <c r="K125" s="623">
        <v>0</v>
      </c>
      <c r="L125" s="623"/>
    </row>
    <row r="126" spans="1:19" ht="15.75">
      <c r="A126" s="627"/>
      <c r="B126" s="628" t="s">
        <v>1053</v>
      </c>
      <c r="C126" s="629"/>
      <c r="D126" s="834" t="s">
        <v>1054</v>
      </c>
      <c r="E126" s="832">
        <f t="shared" ref="E126:E136" si="20">SUM(J126)</f>
        <v>0</v>
      </c>
      <c r="F126" s="848"/>
      <c r="G126" s="623"/>
      <c r="H126" s="832">
        <v>0</v>
      </c>
      <c r="I126" s="768">
        <f t="shared" ref="I126:I138" si="21">E126-G126-H126</f>
        <v>0</v>
      </c>
      <c r="J126" s="766">
        <v>0</v>
      </c>
      <c r="K126" s="623">
        <v>0</v>
      </c>
      <c r="L126" s="623"/>
    </row>
    <row r="127" spans="1:19" ht="15.75">
      <c r="A127" s="627"/>
      <c r="B127" s="628" t="s">
        <v>1055</v>
      </c>
      <c r="C127" s="629"/>
      <c r="D127" s="834" t="s">
        <v>1376</v>
      </c>
      <c r="E127" s="832">
        <f t="shared" si="20"/>
        <v>0</v>
      </c>
      <c r="F127" s="848"/>
      <c r="G127" s="623"/>
      <c r="H127" s="832">
        <v>0</v>
      </c>
      <c r="I127" s="768">
        <f t="shared" si="21"/>
        <v>0</v>
      </c>
      <c r="J127" s="766">
        <v>0</v>
      </c>
      <c r="K127" s="623">
        <v>0</v>
      </c>
      <c r="L127" s="623"/>
    </row>
    <row r="128" spans="1:19" ht="15.75">
      <c r="A128" s="627"/>
      <c r="B128" s="628" t="s">
        <v>1057</v>
      </c>
      <c r="C128" s="629"/>
      <c r="D128" s="850" t="s">
        <v>1056</v>
      </c>
      <c r="E128" s="832">
        <f t="shared" si="20"/>
        <v>0</v>
      </c>
      <c r="F128" s="848"/>
      <c r="G128" s="623"/>
      <c r="H128" s="832">
        <v>0</v>
      </c>
      <c r="I128" s="768">
        <f t="shared" si="21"/>
        <v>0</v>
      </c>
      <c r="J128" s="766">
        <v>0</v>
      </c>
      <c r="K128" s="623">
        <v>0</v>
      </c>
      <c r="L128" s="623"/>
    </row>
    <row r="129" spans="1:12" ht="15.75">
      <c r="A129" s="627"/>
      <c r="B129" s="628" t="s">
        <v>1059</v>
      </c>
      <c r="C129" s="629"/>
      <c r="D129" s="850" t="s">
        <v>1058</v>
      </c>
      <c r="E129" s="832">
        <f t="shared" si="20"/>
        <v>0</v>
      </c>
      <c r="F129" s="848"/>
      <c r="G129" s="623"/>
      <c r="H129" s="832">
        <v>0</v>
      </c>
      <c r="I129" s="768">
        <f t="shared" si="21"/>
        <v>0</v>
      </c>
      <c r="J129" s="766">
        <v>0</v>
      </c>
      <c r="K129" s="623">
        <v>0</v>
      </c>
      <c r="L129" s="623"/>
    </row>
    <row r="130" spans="1:12" ht="15.75">
      <c r="A130" s="627"/>
      <c r="B130" s="628" t="s">
        <v>1060</v>
      </c>
      <c r="C130" s="629"/>
      <c r="D130" s="834" t="s">
        <v>1061</v>
      </c>
      <c r="E130" s="832">
        <f t="shared" si="20"/>
        <v>0</v>
      </c>
      <c r="F130" s="848">
        <v>2013</v>
      </c>
      <c r="G130" s="623"/>
      <c r="H130" s="832">
        <v>1000</v>
      </c>
      <c r="I130" s="768">
        <f t="shared" si="21"/>
        <v>-1000</v>
      </c>
      <c r="J130" s="766">
        <v>0</v>
      </c>
      <c r="K130" s="623">
        <v>0</v>
      </c>
      <c r="L130" s="623"/>
    </row>
    <row r="131" spans="1:12" ht="15.75">
      <c r="A131" s="627"/>
      <c r="B131" s="628" t="s">
        <v>1062</v>
      </c>
      <c r="C131" s="629"/>
      <c r="D131" s="834" t="s">
        <v>1063</v>
      </c>
      <c r="E131" s="832">
        <f t="shared" si="20"/>
        <v>0</v>
      </c>
      <c r="F131" s="848"/>
      <c r="G131" s="623"/>
      <c r="H131" s="832">
        <v>0</v>
      </c>
      <c r="I131" s="768">
        <f t="shared" si="21"/>
        <v>0</v>
      </c>
      <c r="J131" s="766">
        <v>0</v>
      </c>
      <c r="K131" s="623">
        <v>0</v>
      </c>
      <c r="L131" s="623"/>
    </row>
    <row r="132" spans="1:12" ht="15.75">
      <c r="A132" s="627"/>
      <c r="B132" s="628" t="s">
        <v>1064</v>
      </c>
      <c r="C132" s="629"/>
      <c r="D132" s="834" t="s">
        <v>1377</v>
      </c>
      <c r="E132" s="832">
        <f t="shared" si="20"/>
        <v>2097</v>
      </c>
      <c r="F132" s="848">
        <v>2013</v>
      </c>
      <c r="G132" s="623"/>
      <c r="H132" s="832">
        <v>3500</v>
      </c>
      <c r="I132" s="768"/>
      <c r="J132" s="766">
        <v>2097</v>
      </c>
      <c r="K132" s="623">
        <v>2097</v>
      </c>
      <c r="L132" s="623">
        <f t="shared" si="14"/>
        <v>100</v>
      </c>
    </row>
    <row r="133" spans="1:12" ht="15.75">
      <c r="A133" s="627"/>
      <c r="B133" s="628" t="s">
        <v>1223</v>
      </c>
      <c r="C133" s="629"/>
      <c r="D133" s="854" t="s">
        <v>1705</v>
      </c>
      <c r="E133" s="832">
        <f t="shared" si="20"/>
        <v>3326</v>
      </c>
      <c r="F133" s="630">
        <v>2013</v>
      </c>
      <c r="G133" s="623"/>
      <c r="H133" s="855">
        <v>4000</v>
      </c>
      <c r="I133" s="768"/>
      <c r="J133" s="766">
        <v>3326</v>
      </c>
      <c r="K133" s="623">
        <v>3326</v>
      </c>
      <c r="L133" s="623">
        <f>K133/J133*100</f>
        <v>100</v>
      </c>
    </row>
    <row r="134" spans="1:12" ht="15.75">
      <c r="A134" s="627"/>
      <c r="B134" s="628" t="s">
        <v>1224</v>
      </c>
      <c r="C134" s="629"/>
      <c r="D134" s="631" t="s">
        <v>1225</v>
      </c>
      <c r="E134" s="832">
        <f t="shared" si="20"/>
        <v>0</v>
      </c>
      <c r="F134" s="630"/>
      <c r="G134" s="623"/>
      <c r="H134" s="623">
        <v>0</v>
      </c>
      <c r="I134" s="768">
        <f t="shared" ref="I134:I137" si="22">E134-G134-H134</f>
        <v>0</v>
      </c>
      <c r="J134" s="766"/>
      <c r="K134" s="623"/>
      <c r="L134" s="623"/>
    </row>
    <row r="135" spans="1:12" ht="15.75">
      <c r="A135" s="627"/>
      <c r="B135" s="628" t="s">
        <v>1847</v>
      </c>
      <c r="C135" s="629"/>
      <c r="D135" s="631" t="s">
        <v>1848</v>
      </c>
      <c r="E135" s="832">
        <f t="shared" si="20"/>
        <v>50</v>
      </c>
      <c r="F135" s="630">
        <v>2013</v>
      </c>
      <c r="G135" s="623"/>
      <c r="H135" s="623">
        <v>0</v>
      </c>
      <c r="I135" s="768">
        <f t="shared" ref="I135" si="23">E135-G135-H135</f>
        <v>50</v>
      </c>
      <c r="J135" s="766">
        <v>50</v>
      </c>
      <c r="K135" s="623">
        <v>50</v>
      </c>
      <c r="L135" s="623">
        <f t="shared" ref="L135:L138" si="24">K135/J135*100</f>
        <v>100</v>
      </c>
    </row>
    <row r="136" spans="1:12" ht="15.75">
      <c r="A136" s="627"/>
      <c r="B136" s="628" t="s">
        <v>1849</v>
      </c>
      <c r="C136" s="629"/>
      <c r="D136" s="631" t="s">
        <v>1850</v>
      </c>
      <c r="E136" s="832">
        <f t="shared" si="20"/>
        <v>22</v>
      </c>
      <c r="F136" s="630">
        <v>2013</v>
      </c>
      <c r="G136" s="623"/>
      <c r="H136" s="623">
        <v>0</v>
      </c>
      <c r="I136" s="768">
        <f t="shared" si="22"/>
        <v>22</v>
      </c>
      <c r="J136" s="766">
        <v>22</v>
      </c>
      <c r="K136" s="623">
        <v>22</v>
      </c>
      <c r="L136" s="623">
        <f t="shared" si="24"/>
        <v>100</v>
      </c>
    </row>
    <row r="137" spans="1:12" ht="15.75">
      <c r="A137" s="627"/>
      <c r="B137" s="628" t="s">
        <v>1851</v>
      </c>
      <c r="C137" s="629"/>
      <c r="D137" s="631" t="s">
        <v>1852</v>
      </c>
      <c r="E137" s="832">
        <f t="shared" ref="E137:E138" si="25">SUM(J137)</f>
        <v>2442</v>
      </c>
      <c r="F137" s="630">
        <v>2013</v>
      </c>
      <c r="G137" s="623"/>
      <c r="H137" s="623">
        <v>0</v>
      </c>
      <c r="I137" s="768">
        <f t="shared" si="22"/>
        <v>2442</v>
      </c>
      <c r="J137" s="766">
        <v>2442</v>
      </c>
      <c r="K137" s="623">
        <v>2442</v>
      </c>
      <c r="L137" s="623">
        <f t="shared" si="24"/>
        <v>100</v>
      </c>
    </row>
    <row r="138" spans="1:12" ht="15.75">
      <c r="A138" s="627"/>
      <c r="B138" s="628" t="s">
        <v>1934</v>
      </c>
      <c r="C138" s="629"/>
      <c r="D138" s="631" t="s">
        <v>1935</v>
      </c>
      <c r="E138" s="832">
        <f t="shared" si="25"/>
        <v>81</v>
      </c>
      <c r="F138" s="630">
        <v>2013</v>
      </c>
      <c r="G138" s="623"/>
      <c r="H138" s="623">
        <v>0</v>
      </c>
      <c r="I138" s="768">
        <f t="shared" si="21"/>
        <v>81</v>
      </c>
      <c r="J138" s="766">
        <v>81</v>
      </c>
      <c r="K138" s="623">
        <v>81</v>
      </c>
      <c r="L138" s="623">
        <f t="shared" si="24"/>
        <v>100</v>
      </c>
    </row>
    <row r="139" spans="1:12" ht="36.75" customHeight="1">
      <c r="A139" s="635" t="s">
        <v>48</v>
      </c>
      <c r="B139" s="636"/>
      <c r="C139" s="637"/>
      <c r="D139" s="638" t="s">
        <v>834</v>
      </c>
      <c r="E139" s="765">
        <f>SUM(E140:E145)</f>
        <v>2613</v>
      </c>
      <c r="F139" s="608"/>
      <c r="G139" s="608"/>
      <c r="H139" s="608">
        <v>0</v>
      </c>
      <c r="I139" s="608"/>
      <c r="J139" s="765">
        <f>SUM(J140:J145)</f>
        <v>2613</v>
      </c>
      <c r="K139" s="765">
        <f>SUM(K140:K145)</f>
        <v>2613</v>
      </c>
      <c r="L139" s="1014">
        <f t="shared" ref="L139:L149" si="26">K139/J139*100</f>
        <v>100</v>
      </c>
    </row>
    <row r="140" spans="1:12" ht="15.75">
      <c r="A140" s="627"/>
      <c r="B140" s="628" t="s">
        <v>49</v>
      </c>
      <c r="C140" s="629"/>
      <c r="D140" s="631" t="s">
        <v>1706</v>
      </c>
      <c r="E140" s="623">
        <f>SUM(J140)</f>
        <v>170</v>
      </c>
      <c r="F140" s="630">
        <v>2013</v>
      </c>
      <c r="G140" s="623"/>
      <c r="H140" s="623"/>
      <c r="I140" s="768"/>
      <c r="J140" s="766">
        <v>170</v>
      </c>
      <c r="K140" s="623">
        <v>170</v>
      </c>
      <c r="L140" s="623">
        <f t="shared" ref="L140:L142" si="27">K140/J140*100</f>
        <v>100</v>
      </c>
    </row>
    <row r="141" spans="1:12" ht="15.75">
      <c r="A141" s="627"/>
      <c r="B141" s="628" t="s">
        <v>62</v>
      </c>
      <c r="C141" s="629"/>
      <c r="D141" s="631" t="s">
        <v>1715</v>
      </c>
      <c r="E141" s="623">
        <f>SUM(J141)</f>
        <v>48</v>
      </c>
      <c r="F141" s="630">
        <v>2013</v>
      </c>
      <c r="G141" s="623"/>
      <c r="H141" s="623"/>
      <c r="I141" s="768"/>
      <c r="J141" s="766">
        <v>48</v>
      </c>
      <c r="K141" s="623">
        <v>48</v>
      </c>
      <c r="L141" s="623">
        <f t="shared" si="27"/>
        <v>100</v>
      </c>
    </row>
    <row r="142" spans="1:12" ht="15.75">
      <c r="A142" s="627"/>
      <c r="B142" s="628" t="s">
        <v>1590</v>
      </c>
      <c r="C142" s="629"/>
      <c r="D142" s="631" t="s">
        <v>1853</v>
      </c>
      <c r="E142" s="623">
        <f t="shared" ref="E142:E145" si="28">SUM(J142)</f>
        <v>1742</v>
      </c>
      <c r="F142" s="630">
        <v>2013</v>
      </c>
      <c r="G142" s="623"/>
      <c r="H142" s="623"/>
      <c r="I142" s="768"/>
      <c r="J142" s="766">
        <v>1742</v>
      </c>
      <c r="K142" s="623">
        <v>1742</v>
      </c>
      <c r="L142" s="623">
        <f t="shared" si="27"/>
        <v>100</v>
      </c>
    </row>
    <row r="143" spans="1:12" ht="15.75">
      <c r="A143" s="627"/>
      <c r="B143" s="628" t="s">
        <v>1936</v>
      </c>
      <c r="C143" s="629"/>
      <c r="D143" s="631" t="s">
        <v>1939</v>
      </c>
      <c r="E143" s="623">
        <f t="shared" si="28"/>
        <v>180</v>
      </c>
      <c r="F143" s="630">
        <v>2013</v>
      </c>
      <c r="G143" s="623"/>
      <c r="H143" s="623"/>
      <c r="I143" s="768"/>
      <c r="J143" s="766">
        <v>180</v>
      </c>
      <c r="K143" s="623">
        <v>180</v>
      </c>
      <c r="L143" s="623">
        <f t="shared" si="26"/>
        <v>100</v>
      </c>
    </row>
    <row r="144" spans="1:12" ht="15.75">
      <c r="A144" s="627"/>
      <c r="B144" s="628" t="s">
        <v>1937</v>
      </c>
      <c r="C144" s="629"/>
      <c r="D144" s="631" t="s">
        <v>1940</v>
      </c>
      <c r="E144" s="623">
        <f t="shared" si="28"/>
        <v>100</v>
      </c>
      <c r="F144" s="630">
        <v>2013</v>
      </c>
      <c r="G144" s="623"/>
      <c r="H144" s="623"/>
      <c r="I144" s="768"/>
      <c r="J144" s="766">
        <v>100</v>
      </c>
      <c r="K144" s="623">
        <v>100</v>
      </c>
      <c r="L144" s="623">
        <f t="shared" si="26"/>
        <v>100</v>
      </c>
    </row>
    <row r="145" spans="1:12" ht="15.75">
      <c r="A145" s="627"/>
      <c r="B145" s="628" t="s">
        <v>1938</v>
      </c>
      <c r="C145" s="629"/>
      <c r="D145" s="631" t="s">
        <v>1941</v>
      </c>
      <c r="E145" s="623">
        <f t="shared" si="28"/>
        <v>373</v>
      </c>
      <c r="F145" s="630">
        <v>2013</v>
      </c>
      <c r="G145" s="623"/>
      <c r="H145" s="623"/>
      <c r="I145" s="768"/>
      <c r="J145" s="766">
        <v>373</v>
      </c>
      <c r="K145" s="623">
        <v>373</v>
      </c>
      <c r="L145" s="623">
        <f t="shared" si="26"/>
        <v>100</v>
      </c>
    </row>
    <row r="146" spans="1:12" ht="36.75" customHeight="1">
      <c r="A146" s="635" t="s">
        <v>178</v>
      </c>
      <c r="B146" s="636"/>
      <c r="C146" s="637"/>
      <c r="D146" s="638" t="s">
        <v>835</v>
      </c>
      <c r="E146" s="765">
        <f>SUM(E147)</f>
        <v>483</v>
      </c>
      <c r="F146" s="608"/>
      <c r="G146" s="608"/>
      <c r="H146" s="608">
        <v>0</v>
      </c>
      <c r="I146" s="608"/>
      <c r="J146" s="765">
        <f>SUM(J147)</f>
        <v>483</v>
      </c>
      <c r="K146" s="765">
        <f>SUM(K147)</f>
        <v>483</v>
      </c>
      <c r="L146" s="1013">
        <f t="shared" si="26"/>
        <v>100</v>
      </c>
    </row>
    <row r="147" spans="1:12" ht="15.75">
      <c r="A147" s="627"/>
      <c r="B147" s="628" t="s">
        <v>283</v>
      </c>
      <c r="C147" s="629"/>
      <c r="D147" s="631" t="s">
        <v>1716</v>
      </c>
      <c r="E147" s="623">
        <f>SUM(J147)</f>
        <v>483</v>
      </c>
      <c r="F147" s="630">
        <v>2013</v>
      </c>
      <c r="G147" s="623"/>
      <c r="H147" s="623"/>
      <c r="I147" s="768"/>
      <c r="J147" s="766">
        <v>483</v>
      </c>
      <c r="K147" s="623">
        <v>483</v>
      </c>
      <c r="L147" s="623">
        <f t="shared" si="26"/>
        <v>100</v>
      </c>
    </row>
    <row r="148" spans="1:12" ht="15.75" hidden="1">
      <c r="A148" s="627"/>
      <c r="B148" s="628" t="s">
        <v>1219</v>
      </c>
      <c r="C148" s="629"/>
      <c r="D148" s="631"/>
      <c r="E148" s="623"/>
      <c r="F148" s="630"/>
      <c r="G148" s="623"/>
      <c r="H148" s="623"/>
      <c r="I148" s="768"/>
      <c r="J148" s="766"/>
      <c r="K148" s="623"/>
      <c r="L148" s="623" t="e">
        <f t="shared" si="26"/>
        <v>#DIV/0!</v>
      </c>
    </row>
    <row r="149" spans="1:12" ht="36.75" customHeight="1">
      <c r="A149" s="635" t="s">
        <v>74</v>
      </c>
      <c r="B149" s="636"/>
      <c r="C149" s="637"/>
      <c r="D149" s="638" t="s">
        <v>889</v>
      </c>
      <c r="E149" s="765">
        <f>SUM(E150)</f>
        <v>617</v>
      </c>
      <c r="F149" s="608"/>
      <c r="G149" s="608"/>
      <c r="H149" s="608">
        <v>0</v>
      </c>
      <c r="I149" s="608"/>
      <c r="J149" s="765">
        <f>SUM(J150)</f>
        <v>617</v>
      </c>
      <c r="K149" s="765">
        <f>SUM(K150)</f>
        <v>617</v>
      </c>
      <c r="L149" s="765">
        <f t="shared" si="26"/>
        <v>100</v>
      </c>
    </row>
    <row r="150" spans="1:12" ht="15.75">
      <c r="A150" s="627"/>
      <c r="B150" s="628" t="s">
        <v>75</v>
      </c>
      <c r="C150" s="629"/>
      <c r="D150" s="631" t="s">
        <v>1719</v>
      </c>
      <c r="E150" s="623">
        <f>SUM(J150)</f>
        <v>617</v>
      </c>
      <c r="F150" s="630">
        <v>2013</v>
      </c>
      <c r="G150" s="623"/>
      <c r="H150" s="623"/>
      <c r="I150" s="768"/>
      <c r="J150" s="766">
        <v>617</v>
      </c>
      <c r="K150" s="623">
        <v>617</v>
      </c>
      <c r="L150" s="623">
        <f>K150/J150*100</f>
        <v>100</v>
      </c>
    </row>
    <row r="151" spans="1:12" ht="15.75" hidden="1">
      <c r="A151" s="627"/>
      <c r="B151" s="628" t="s">
        <v>77</v>
      </c>
      <c r="C151" s="629"/>
      <c r="D151" s="631"/>
      <c r="E151" s="623"/>
      <c r="F151" s="630"/>
      <c r="G151" s="623"/>
      <c r="H151" s="623"/>
      <c r="I151" s="768"/>
      <c r="J151" s="766"/>
      <c r="K151" s="623"/>
      <c r="L151" s="623"/>
    </row>
    <row r="152" spans="1:12" ht="36.75" customHeight="1">
      <c r="A152" s="635" t="s">
        <v>205</v>
      </c>
      <c r="B152" s="636"/>
      <c r="C152" s="637"/>
      <c r="D152" s="638" t="s">
        <v>842</v>
      </c>
      <c r="E152" s="765">
        <f>SUM(E153:E157)</f>
        <v>816</v>
      </c>
      <c r="F152" s="608"/>
      <c r="G152" s="1021"/>
      <c r="H152" s="1022">
        <f>H153+H157+H156</f>
        <v>0</v>
      </c>
      <c r="I152" s="608"/>
      <c r="J152" s="765">
        <f>SUM(J157+J153++J154+J155+J156)</f>
        <v>816</v>
      </c>
      <c r="K152" s="765">
        <f>SUM(K157+K153++K154+K155+K156)</f>
        <v>816</v>
      </c>
      <c r="L152" s="1014">
        <f t="shared" ref="L152:L161" si="29">K152/J152*100</f>
        <v>100</v>
      </c>
    </row>
    <row r="153" spans="1:12" ht="15.75">
      <c r="A153" s="627"/>
      <c r="B153" s="628" t="s">
        <v>1065</v>
      </c>
      <c r="C153" s="629"/>
      <c r="D153" s="631" t="s">
        <v>1717</v>
      </c>
      <c r="E153" s="623">
        <f>SUM(J153)</f>
        <v>86</v>
      </c>
      <c r="F153" s="630">
        <v>2013</v>
      </c>
      <c r="G153" s="623"/>
      <c r="H153" s="623"/>
      <c r="I153" s="768"/>
      <c r="J153" s="766">
        <v>86</v>
      </c>
      <c r="K153" s="623">
        <v>86</v>
      </c>
      <c r="L153" s="623">
        <f t="shared" si="29"/>
        <v>100</v>
      </c>
    </row>
    <row r="154" spans="1:12" ht="15.75">
      <c r="A154" s="627"/>
      <c r="B154" s="628" t="s">
        <v>1066</v>
      </c>
      <c r="C154" s="629"/>
      <c r="D154" s="631" t="s">
        <v>1718</v>
      </c>
      <c r="E154" s="623">
        <f t="shared" ref="E154:E157" si="30">SUM(J154)</f>
        <v>36</v>
      </c>
      <c r="F154" s="630">
        <v>2013</v>
      </c>
      <c r="G154" s="623"/>
      <c r="H154" s="623"/>
      <c r="I154" s="768"/>
      <c r="J154" s="766">
        <v>36</v>
      </c>
      <c r="K154" s="623">
        <v>36</v>
      </c>
      <c r="L154" s="623">
        <f t="shared" ref="L154:L155" si="31">K154/J154*100</f>
        <v>100</v>
      </c>
    </row>
    <row r="155" spans="1:12" ht="15.75">
      <c r="A155" s="627"/>
      <c r="B155" s="628" t="s">
        <v>1757</v>
      </c>
      <c r="C155" s="629"/>
      <c r="D155" s="631" t="s">
        <v>1758</v>
      </c>
      <c r="E155" s="623">
        <f t="shared" si="30"/>
        <v>482</v>
      </c>
      <c r="F155" s="630">
        <v>2013</v>
      </c>
      <c r="G155" s="623"/>
      <c r="H155" s="623"/>
      <c r="I155" s="768"/>
      <c r="J155" s="766">
        <v>482</v>
      </c>
      <c r="K155" s="623">
        <v>482</v>
      </c>
      <c r="L155" s="623">
        <f t="shared" si="31"/>
        <v>100</v>
      </c>
    </row>
    <row r="156" spans="1:12" ht="15.75">
      <c r="A156" s="627"/>
      <c r="B156" s="628" t="s">
        <v>1942</v>
      </c>
      <c r="C156" s="629"/>
      <c r="D156" s="631" t="s">
        <v>1944</v>
      </c>
      <c r="E156" s="623">
        <f t="shared" si="30"/>
        <v>105</v>
      </c>
      <c r="F156" s="630">
        <v>2013</v>
      </c>
      <c r="G156" s="623"/>
      <c r="H156" s="623"/>
      <c r="I156" s="768"/>
      <c r="J156" s="766">
        <v>105</v>
      </c>
      <c r="K156" s="623">
        <v>105</v>
      </c>
      <c r="L156" s="623">
        <f t="shared" si="29"/>
        <v>100</v>
      </c>
    </row>
    <row r="157" spans="1:12" ht="15.75">
      <c r="A157" s="627"/>
      <c r="B157" s="628" t="s">
        <v>1943</v>
      </c>
      <c r="C157" s="629"/>
      <c r="D157" s="631" t="s">
        <v>1945</v>
      </c>
      <c r="E157" s="623">
        <f t="shared" si="30"/>
        <v>107</v>
      </c>
      <c r="F157" s="630">
        <v>2013</v>
      </c>
      <c r="G157" s="623"/>
      <c r="H157" s="623"/>
      <c r="I157" s="768"/>
      <c r="J157" s="766">
        <v>107</v>
      </c>
      <c r="K157" s="623">
        <v>107</v>
      </c>
      <c r="L157" s="623">
        <f t="shared" si="29"/>
        <v>100</v>
      </c>
    </row>
    <row r="158" spans="1:12" ht="16.5">
      <c r="A158" s="635" t="s">
        <v>79</v>
      </c>
      <c r="B158" s="636"/>
      <c r="C158" s="637"/>
      <c r="D158" s="638" t="s">
        <v>837</v>
      </c>
      <c r="E158" s="765">
        <f>SUM(E159:E161)</f>
        <v>260</v>
      </c>
      <c r="F158" s="608"/>
      <c r="G158" s="608"/>
      <c r="H158" s="608">
        <v>0</v>
      </c>
      <c r="I158" s="608"/>
      <c r="J158" s="765">
        <f>SUM(J159:J161)</f>
        <v>260</v>
      </c>
      <c r="K158" s="765">
        <f>SUM(K159:K161)</f>
        <v>260</v>
      </c>
      <c r="L158" s="1013">
        <f t="shared" si="29"/>
        <v>100</v>
      </c>
    </row>
    <row r="159" spans="1:12" ht="15.75">
      <c r="A159" s="627"/>
      <c r="B159" s="628" t="s">
        <v>1067</v>
      </c>
      <c r="C159" s="629"/>
      <c r="D159" s="631" t="s">
        <v>1720</v>
      </c>
      <c r="E159" s="623">
        <f>SUM(J159)</f>
        <v>89</v>
      </c>
      <c r="F159" s="630">
        <v>2013</v>
      </c>
      <c r="G159" s="623"/>
      <c r="H159" s="623"/>
      <c r="I159" s="768"/>
      <c r="J159" s="766">
        <v>89</v>
      </c>
      <c r="K159" s="623">
        <v>89</v>
      </c>
      <c r="L159" s="623">
        <f t="shared" si="29"/>
        <v>100</v>
      </c>
    </row>
    <row r="160" spans="1:12" ht="15.75">
      <c r="A160" s="627"/>
      <c r="B160" s="628" t="s">
        <v>1595</v>
      </c>
      <c r="C160" s="629"/>
      <c r="D160" s="631" t="s">
        <v>1946</v>
      </c>
      <c r="E160" s="623">
        <f t="shared" ref="E160:E161" si="32">SUM(J160)</f>
        <v>132</v>
      </c>
      <c r="F160" s="630">
        <v>2013</v>
      </c>
      <c r="G160" s="623"/>
      <c r="H160" s="623"/>
      <c r="I160" s="768"/>
      <c r="J160" s="766">
        <v>132</v>
      </c>
      <c r="K160" s="623">
        <v>132</v>
      </c>
      <c r="L160" s="623">
        <f t="shared" ref="L160" si="33">K160/J160*100</f>
        <v>100</v>
      </c>
    </row>
    <row r="161" spans="1:17" ht="15.75">
      <c r="A161" s="627"/>
      <c r="B161" s="628" t="s">
        <v>1596</v>
      </c>
      <c r="C161" s="629"/>
      <c r="D161" s="631" t="s">
        <v>1947</v>
      </c>
      <c r="E161" s="623">
        <f t="shared" si="32"/>
        <v>39</v>
      </c>
      <c r="F161" s="630">
        <v>2013</v>
      </c>
      <c r="G161" s="623"/>
      <c r="H161" s="623"/>
      <c r="I161" s="768"/>
      <c r="J161" s="766">
        <v>39</v>
      </c>
      <c r="K161" s="623">
        <v>39</v>
      </c>
      <c r="L161" s="623">
        <f t="shared" si="29"/>
        <v>100</v>
      </c>
    </row>
    <row r="162" spans="1:17" ht="36.75" customHeight="1">
      <c r="A162" s="635" t="s">
        <v>80</v>
      </c>
      <c r="B162" s="636"/>
      <c r="C162" s="637"/>
      <c r="D162" s="638" t="s">
        <v>1759</v>
      </c>
      <c r="E162" s="765">
        <f>SUM(E163:E172)</f>
        <v>3842</v>
      </c>
      <c r="F162" s="608"/>
      <c r="G162" s="608"/>
      <c r="H162" s="608">
        <v>0</v>
      </c>
      <c r="I162" s="608"/>
      <c r="J162" s="765">
        <f>SUM(J163:J172)</f>
        <v>3842</v>
      </c>
      <c r="K162" s="765">
        <f>SUM(K163:K172)</f>
        <v>3842</v>
      </c>
      <c r="L162" s="1013"/>
    </row>
    <row r="163" spans="1:17" ht="15.75">
      <c r="A163" s="627"/>
      <c r="B163" s="628" t="s">
        <v>1068</v>
      </c>
      <c r="C163" s="629"/>
      <c r="D163" s="631" t="s">
        <v>1760</v>
      </c>
      <c r="E163" s="623">
        <f>SUM(J163)</f>
        <v>191</v>
      </c>
      <c r="F163" s="630"/>
      <c r="G163" s="623"/>
      <c r="H163" s="623"/>
      <c r="I163" s="768"/>
      <c r="J163" s="766">
        <v>191</v>
      </c>
      <c r="K163" s="623">
        <v>191</v>
      </c>
      <c r="L163" s="623">
        <f t="shared" ref="L163:L172" si="34">K163/J163*100</f>
        <v>100</v>
      </c>
    </row>
    <row r="164" spans="1:17" ht="15.75">
      <c r="A164" s="627"/>
      <c r="B164" s="628" t="s">
        <v>1069</v>
      </c>
      <c r="C164" s="629"/>
      <c r="D164" s="631" t="s">
        <v>1761</v>
      </c>
      <c r="E164" s="623">
        <f t="shared" ref="E164:E168" si="35">SUM(J164)</f>
        <v>594</v>
      </c>
      <c r="F164" s="630"/>
      <c r="G164" s="623"/>
      <c r="H164" s="623"/>
      <c r="I164" s="768"/>
      <c r="J164" s="766">
        <v>594</v>
      </c>
      <c r="K164" s="623">
        <v>594</v>
      </c>
      <c r="L164" s="623">
        <f t="shared" si="34"/>
        <v>100</v>
      </c>
      <c r="M164" s="1971"/>
      <c r="N164" s="1972"/>
      <c r="O164" s="1972"/>
      <c r="P164" s="1972"/>
      <c r="Q164" s="1972"/>
    </row>
    <row r="165" spans="1:17" ht="15.75">
      <c r="A165" s="627"/>
      <c r="B165" s="628" t="s">
        <v>1604</v>
      </c>
      <c r="C165" s="629"/>
      <c r="D165" s="631" t="s">
        <v>1763</v>
      </c>
      <c r="E165" s="623">
        <f t="shared" si="35"/>
        <v>57</v>
      </c>
      <c r="F165" s="630"/>
      <c r="G165" s="623"/>
      <c r="H165" s="623"/>
      <c r="I165" s="768"/>
      <c r="J165" s="766">
        <v>57</v>
      </c>
      <c r="K165" s="623">
        <v>57</v>
      </c>
      <c r="L165" s="623">
        <f t="shared" si="34"/>
        <v>100</v>
      </c>
    </row>
    <row r="166" spans="1:17" ht="15.75">
      <c r="A166" s="627"/>
      <c r="B166" s="628" t="s">
        <v>1762</v>
      </c>
      <c r="C166" s="629"/>
      <c r="D166" s="631" t="s">
        <v>1764</v>
      </c>
      <c r="E166" s="623">
        <f t="shared" si="35"/>
        <v>140</v>
      </c>
      <c r="F166" s="630"/>
      <c r="G166" s="623"/>
      <c r="H166" s="623"/>
      <c r="I166" s="768"/>
      <c r="J166" s="766">
        <v>140</v>
      </c>
      <c r="K166" s="623">
        <v>140</v>
      </c>
      <c r="L166" s="623">
        <f t="shared" si="34"/>
        <v>100</v>
      </c>
      <c r="M166" s="1971"/>
      <c r="N166" s="1972"/>
      <c r="O166" s="1972"/>
      <c r="P166" s="1972"/>
      <c r="Q166" s="1972"/>
    </row>
    <row r="167" spans="1:17" ht="15.75">
      <c r="A167" s="627"/>
      <c r="B167" s="628" t="s">
        <v>1766</v>
      </c>
      <c r="C167" s="629"/>
      <c r="D167" s="631" t="s">
        <v>1765</v>
      </c>
      <c r="E167" s="623">
        <f t="shared" si="35"/>
        <v>406</v>
      </c>
      <c r="F167" s="630"/>
      <c r="G167" s="623"/>
      <c r="H167" s="623"/>
      <c r="I167" s="768"/>
      <c r="J167" s="766">
        <v>406</v>
      </c>
      <c r="K167" s="623">
        <v>406</v>
      </c>
      <c r="L167" s="623">
        <f t="shared" si="34"/>
        <v>100</v>
      </c>
    </row>
    <row r="168" spans="1:17" ht="15.75">
      <c r="A168" s="627"/>
      <c r="B168" s="628" t="s">
        <v>1767</v>
      </c>
      <c r="C168" s="629"/>
      <c r="D168" s="631" t="s">
        <v>1768</v>
      </c>
      <c r="E168" s="623">
        <f t="shared" si="35"/>
        <v>108</v>
      </c>
      <c r="F168" s="630"/>
      <c r="G168" s="623"/>
      <c r="H168" s="623"/>
      <c r="I168" s="768"/>
      <c r="J168" s="766">
        <v>108</v>
      </c>
      <c r="K168" s="623">
        <v>108</v>
      </c>
      <c r="L168" s="623">
        <f t="shared" ref="L168:L171" si="36">K168/J168*100</f>
        <v>100</v>
      </c>
      <c r="M168" s="1971"/>
      <c r="N168" s="1972"/>
      <c r="O168" s="1972"/>
      <c r="P168" s="1972"/>
      <c r="Q168" s="1972"/>
    </row>
    <row r="169" spans="1:17" ht="15.75">
      <c r="A169" s="627"/>
      <c r="B169" s="628" t="s">
        <v>1855</v>
      </c>
      <c r="C169" s="629"/>
      <c r="D169" s="631" t="s">
        <v>1854</v>
      </c>
      <c r="E169" s="623">
        <f t="shared" ref="E169:E172" si="37">SUM(J169)</f>
        <v>330</v>
      </c>
      <c r="F169" s="630"/>
      <c r="G169" s="623"/>
      <c r="H169" s="623"/>
      <c r="I169" s="768"/>
      <c r="J169" s="766">
        <v>330</v>
      </c>
      <c r="K169" s="623">
        <v>330</v>
      </c>
      <c r="L169" s="623">
        <f t="shared" ref="L169:L170" si="38">K169/J169*100</f>
        <v>100</v>
      </c>
      <c r="M169" s="1971"/>
      <c r="N169" s="1972"/>
      <c r="O169" s="1972"/>
      <c r="P169" s="1972"/>
      <c r="Q169" s="1972"/>
    </row>
    <row r="170" spans="1:17" ht="15.75">
      <c r="A170" s="627"/>
      <c r="B170" s="628" t="s">
        <v>1856</v>
      </c>
      <c r="C170" s="629"/>
      <c r="D170" s="631" t="s">
        <v>1857</v>
      </c>
      <c r="E170" s="623">
        <f t="shared" si="37"/>
        <v>150</v>
      </c>
      <c r="F170" s="630"/>
      <c r="G170" s="623"/>
      <c r="H170" s="623"/>
      <c r="I170" s="768"/>
      <c r="J170" s="766">
        <v>150</v>
      </c>
      <c r="K170" s="623">
        <v>150</v>
      </c>
      <c r="L170" s="623">
        <f t="shared" si="38"/>
        <v>100</v>
      </c>
      <c r="M170" s="1971"/>
      <c r="N170" s="1972"/>
      <c r="O170" s="1972"/>
      <c r="P170" s="1972"/>
      <c r="Q170" s="1972"/>
    </row>
    <row r="171" spans="1:17" ht="15.75">
      <c r="A171" s="627"/>
      <c r="B171" s="628" t="s">
        <v>1948</v>
      </c>
      <c r="C171" s="629"/>
      <c r="D171" s="631" t="s">
        <v>1950</v>
      </c>
      <c r="E171" s="623">
        <f t="shared" si="37"/>
        <v>22</v>
      </c>
      <c r="F171" s="630"/>
      <c r="G171" s="623"/>
      <c r="H171" s="623"/>
      <c r="I171" s="768"/>
      <c r="J171" s="766">
        <v>22</v>
      </c>
      <c r="K171" s="623">
        <v>22</v>
      </c>
      <c r="L171" s="623">
        <f t="shared" si="36"/>
        <v>100</v>
      </c>
      <c r="M171" s="1971"/>
      <c r="N171" s="1972"/>
      <c r="O171" s="1972"/>
      <c r="P171" s="1972"/>
      <c r="Q171" s="1972"/>
    </row>
    <row r="172" spans="1:17" ht="15.75">
      <c r="A172" s="627"/>
      <c r="B172" s="628" t="s">
        <v>1949</v>
      </c>
      <c r="C172" s="629"/>
      <c r="D172" s="631" t="s">
        <v>1951</v>
      </c>
      <c r="E172" s="623">
        <f t="shared" si="37"/>
        <v>1844</v>
      </c>
      <c r="F172" s="630"/>
      <c r="G172" s="623"/>
      <c r="H172" s="623"/>
      <c r="I172" s="768"/>
      <c r="J172" s="766">
        <v>1844</v>
      </c>
      <c r="K172" s="623">
        <v>1844</v>
      </c>
      <c r="L172" s="623">
        <f t="shared" si="34"/>
        <v>100</v>
      </c>
      <c r="M172" s="1971"/>
      <c r="N172" s="1972"/>
      <c r="O172" s="1972"/>
      <c r="P172" s="1972"/>
      <c r="Q172" s="1972"/>
    </row>
    <row r="173" spans="1:17" ht="36.75" customHeight="1">
      <c r="A173" s="635" t="s">
        <v>85</v>
      </c>
      <c r="B173" s="636"/>
      <c r="C173" s="637"/>
      <c r="D173" s="638" t="s">
        <v>838</v>
      </c>
      <c r="E173" s="765">
        <f t="shared" ref="E173:G173" si="39">SUM(E174)</f>
        <v>244</v>
      </c>
      <c r="F173" s="765"/>
      <c r="G173" s="765">
        <f t="shared" si="39"/>
        <v>0</v>
      </c>
      <c r="H173" s="765"/>
      <c r="I173" s="765"/>
      <c r="J173" s="765">
        <f>SUM(J174)</f>
        <v>244</v>
      </c>
      <c r="K173" s="610">
        <f>SUM(K174)</f>
        <v>244</v>
      </c>
      <c r="L173" s="634"/>
    </row>
    <row r="174" spans="1:17" ht="15.75">
      <c r="A174" s="627"/>
      <c r="B174" s="628" t="s">
        <v>1070</v>
      </c>
      <c r="C174" s="629"/>
      <c r="D174" s="631" t="s">
        <v>1858</v>
      </c>
      <c r="E174" s="623">
        <f>J174</f>
        <v>244</v>
      </c>
      <c r="F174" s="630"/>
      <c r="G174" s="623"/>
      <c r="H174" s="623"/>
      <c r="I174" s="768"/>
      <c r="J174" s="766">
        <v>244</v>
      </c>
      <c r="K174" s="623">
        <v>244</v>
      </c>
      <c r="L174" s="623"/>
    </row>
    <row r="175" spans="1:17" ht="36.75" hidden="1" customHeight="1">
      <c r="A175" s="635" t="s">
        <v>98</v>
      </c>
      <c r="B175" s="636"/>
      <c r="C175" s="637"/>
      <c r="D175" s="638" t="s">
        <v>844</v>
      </c>
      <c r="E175" s="608">
        <v>0</v>
      </c>
      <c r="F175" s="608"/>
      <c r="G175" s="608"/>
      <c r="H175" s="608">
        <v>0</v>
      </c>
      <c r="I175" s="608"/>
      <c r="J175" s="765">
        <f>SUM(J176:J177)</f>
        <v>0</v>
      </c>
      <c r="K175" s="610">
        <f>SUM(K176:K177)</f>
        <v>0</v>
      </c>
      <c r="L175" s="634"/>
    </row>
    <row r="176" spans="1:17" ht="15.75" hidden="1">
      <c r="A176" s="627"/>
      <c r="B176" s="628" t="s">
        <v>1071</v>
      </c>
      <c r="C176" s="629"/>
      <c r="D176" s="631"/>
      <c r="E176" s="623"/>
      <c r="F176" s="630"/>
      <c r="G176" s="623"/>
      <c r="H176" s="623"/>
      <c r="I176" s="768"/>
      <c r="J176" s="766"/>
      <c r="K176" s="623"/>
      <c r="L176" s="623"/>
    </row>
    <row r="177" spans="1:17" ht="15.75" hidden="1">
      <c r="A177" s="627"/>
      <c r="B177" s="628" t="s">
        <v>1222</v>
      </c>
      <c r="C177" s="629"/>
      <c r="D177" s="631"/>
      <c r="E177" s="623"/>
      <c r="F177" s="630"/>
      <c r="G177" s="623"/>
      <c r="H177" s="623"/>
      <c r="I177" s="768"/>
      <c r="J177" s="766"/>
      <c r="K177" s="623"/>
      <c r="L177" s="623" t="e">
        <f>K177/J177*100</f>
        <v>#DIV/0!</v>
      </c>
    </row>
    <row r="178" spans="1:17" ht="36.75" hidden="1" customHeight="1">
      <c r="A178" s="635" t="s">
        <v>99</v>
      </c>
      <c r="B178" s="636"/>
      <c r="C178" s="637"/>
      <c r="D178" s="638" t="s">
        <v>1220</v>
      </c>
      <c r="E178" s="608">
        <v>0</v>
      </c>
      <c r="F178" s="608"/>
      <c r="G178" s="608"/>
      <c r="H178" s="608">
        <v>0</v>
      </c>
      <c r="I178" s="608"/>
      <c r="J178" s="765">
        <f>SUM(J179)</f>
        <v>0</v>
      </c>
      <c r="K178" s="610">
        <f>SUM(K179)</f>
        <v>0</v>
      </c>
      <c r="L178" s="634"/>
    </row>
    <row r="179" spans="1:17" ht="15.75" hidden="1">
      <c r="A179" s="627"/>
      <c r="B179" s="628" t="s">
        <v>1221</v>
      </c>
      <c r="C179" s="629"/>
      <c r="D179" s="631"/>
      <c r="E179" s="623"/>
      <c r="F179" s="630"/>
      <c r="G179" s="623"/>
      <c r="H179" s="623"/>
      <c r="I179" s="768"/>
      <c r="J179" s="766"/>
      <c r="K179" s="623">
        <v>0</v>
      </c>
      <c r="L179" s="623"/>
    </row>
    <row r="180" spans="1:17" ht="16.5">
      <c r="A180" s="635" t="s">
        <v>210</v>
      </c>
      <c r="B180" s="636"/>
      <c r="C180" s="637"/>
      <c r="D180" s="608" t="s">
        <v>920</v>
      </c>
      <c r="E180" s="610">
        <f>SUM(E181:E200)</f>
        <v>10693</v>
      </c>
      <c r="F180" s="610"/>
      <c r="G180" s="610"/>
      <c r="H180" s="610"/>
      <c r="I180" s="610"/>
      <c r="J180" s="610">
        <f>SUM(J181:J200)</f>
        <v>10693</v>
      </c>
      <c r="K180" s="610">
        <f>SUM(K181:K200)</f>
        <v>10693</v>
      </c>
      <c r="L180" s="623">
        <f>K180/J180*100</f>
        <v>100</v>
      </c>
    </row>
    <row r="181" spans="1:17" ht="15.75">
      <c r="A181" s="627"/>
      <c r="B181" s="628" t="s">
        <v>1782</v>
      </c>
      <c r="C181" s="629"/>
      <c r="D181" s="1268" t="s">
        <v>1783</v>
      </c>
      <c r="E181" s="623">
        <f>J181</f>
        <v>151</v>
      </c>
      <c r="F181" s="1270">
        <v>2013</v>
      </c>
      <c r="G181" s="1271"/>
      <c r="H181" s="1269"/>
      <c r="I181" s="768">
        <f t="shared" ref="I181:I191" si="40">E181-G181-H181</f>
        <v>151</v>
      </c>
      <c r="J181" s="1269">
        <v>151</v>
      </c>
      <c r="K181" s="1269">
        <v>151</v>
      </c>
      <c r="L181" s="623">
        <f>K181/J181*100</f>
        <v>100</v>
      </c>
      <c r="M181" s="1971"/>
      <c r="N181" s="1972"/>
      <c r="O181" s="1972"/>
      <c r="P181" s="1972"/>
      <c r="Q181" s="1972"/>
    </row>
    <row r="182" spans="1:17" ht="15.75">
      <c r="A182" s="627"/>
      <c r="B182" s="628" t="s">
        <v>1784</v>
      </c>
      <c r="C182" s="629"/>
      <c r="D182" s="1268" t="s">
        <v>2032</v>
      </c>
      <c r="E182" s="623">
        <f t="shared" ref="E182:E193" si="41">J182</f>
        <v>356</v>
      </c>
      <c r="F182" s="1270">
        <v>2013</v>
      </c>
      <c r="G182" s="1271"/>
      <c r="H182" s="1269">
        <v>0</v>
      </c>
      <c r="I182" s="768">
        <f t="shared" si="40"/>
        <v>356</v>
      </c>
      <c r="J182" s="1269">
        <v>356</v>
      </c>
      <c r="K182" s="1269">
        <v>356</v>
      </c>
      <c r="L182" s="623">
        <f t="shared" ref="L182:L193" si="42">K182/J182*100</f>
        <v>100</v>
      </c>
      <c r="M182" s="1971"/>
      <c r="N182" s="1972"/>
      <c r="O182" s="1972"/>
      <c r="P182" s="1972"/>
      <c r="Q182" s="1972"/>
    </row>
    <row r="183" spans="1:17" ht="15.75">
      <c r="A183" s="627"/>
      <c r="B183" s="628" t="s">
        <v>1785</v>
      </c>
      <c r="C183" s="629"/>
      <c r="D183" s="1268" t="s">
        <v>2033</v>
      </c>
      <c r="E183" s="623">
        <f t="shared" si="41"/>
        <v>2110</v>
      </c>
      <c r="F183" s="1270">
        <v>2013</v>
      </c>
      <c r="G183" s="1271"/>
      <c r="H183" s="1269">
        <v>0</v>
      </c>
      <c r="I183" s="768">
        <f t="shared" si="40"/>
        <v>2110</v>
      </c>
      <c r="J183" s="1269">
        <v>2110</v>
      </c>
      <c r="K183" s="1269">
        <v>2110</v>
      </c>
      <c r="L183" s="623">
        <f t="shared" si="42"/>
        <v>100</v>
      </c>
      <c r="M183" s="1971"/>
      <c r="N183" s="1972"/>
      <c r="O183" s="1972"/>
      <c r="P183" s="1972"/>
      <c r="Q183" s="1972"/>
    </row>
    <row r="184" spans="1:17" ht="15.75">
      <c r="A184" s="627"/>
      <c r="B184" s="628" t="s">
        <v>1786</v>
      </c>
      <c r="C184" s="629"/>
      <c r="D184" s="1268" t="s">
        <v>2034</v>
      </c>
      <c r="E184" s="623">
        <f t="shared" si="41"/>
        <v>785</v>
      </c>
      <c r="F184" s="1270">
        <v>2013</v>
      </c>
      <c r="G184" s="1271"/>
      <c r="H184" s="1269">
        <v>0</v>
      </c>
      <c r="I184" s="768">
        <f t="shared" si="40"/>
        <v>785</v>
      </c>
      <c r="J184" s="1269">
        <v>785</v>
      </c>
      <c r="K184" s="1269">
        <v>785</v>
      </c>
      <c r="L184" s="623">
        <f t="shared" si="42"/>
        <v>100</v>
      </c>
      <c r="M184" s="1971"/>
      <c r="N184" s="1972"/>
      <c r="O184" s="1972"/>
      <c r="P184" s="1972"/>
      <c r="Q184" s="1972"/>
    </row>
    <row r="185" spans="1:17" ht="15.75">
      <c r="A185" s="627"/>
      <c r="B185" s="628" t="s">
        <v>1787</v>
      </c>
      <c r="C185" s="629"/>
      <c r="D185" s="1268" t="s">
        <v>1788</v>
      </c>
      <c r="E185" s="623">
        <f t="shared" si="41"/>
        <v>984</v>
      </c>
      <c r="F185" s="1270">
        <v>2013</v>
      </c>
      <c r="G185" s="1271"/>
      <c r="H185" s="1269"/>
      <c r="I185" s="768">
        <f t="shared" si="40"/>
        <v>984</v>
      </c>
      <c r="J185" s="1269">
        <v>984</v>
      </c>
      <c r="K185" s="1269">
        <v>984</v>
      </c>
      <c r="L185" s="623">
        <f t="shared" si="42"/>
        <v>100</v>
      </c>
      <c r="M185" s="1971"/>
      <c r="N185" s="1972"/>
      <c r="O185" s="1972"/>
      <c r="P185" s="1972"/>
      <c r="Q185" s="1972"/>
    </row>
    <row r="186" spans="1:17" ht="16.5">
      <c r="A186" s="771"/>
      <c r="B186" s="628" t="s">
        <v>1789</v>
      </c>
      <c r="C186" s="772"/>
      <c r="D186" s="1268" t="s">
        <v>2035</v>
      </c>
      <c r="E186" s="623">
        <f t="shared" si="41"/>
        <v>428</v>
      </c>
      <c r="F186" s="1270">
        <v>2013</v>
      </c>
      <c r="G186" s="1271"/>
      <c r="H186" s="1269"/>
      <c r="I186" s="768">
        <f t="shared" si="40"/>
        <v>428</v>
      </c>
      <c r="J186" s="1269">
        <v>428</v>
      </c>
      <c r="K186" s="1269">
        <v>428</v>
      </c>
      <c r="L186" s="623">
        <f t="shared" si="42"/>
        <v>100</v>
      </c>
    </row>
    <row r="187" spans="1:17" ht="16.5">
      <c r="A187" s="771"/>
      <c r="B187" s="628" t="s">
        <v>1790</v>
      </c>
      <c r="C187" s="772"/>
      <c r="D187" s="1268" t="s">
        <v>2036</v>
      </c>
      <c r="E187" s="623">
        <f t="shared" si="41"/>
        <v>536</v>
      </c>
      <c r="F187" s="1270">
        <v>2013</v>
      </c>
      <c r="G187" s="1271"/>
      <c r="H187" s="1269"/>
      <c r="I187" s="768">
        <f t="shared" si="40"/>
        <v>536</v>
      </c>
      <c r="J187" s="1269">
        <v>536</v>
      </c>
      <c r="K187" s="1269">
        <v>536</v>
      </c>
      <c r="L187" s="623">
        <f t="shared" si="42"/>
        <v>100</v>
      </c>
    </row>
    <row r="188" spans="1:17" s="727" customFormat="1" ht="17.25">
      <c r="A188" s="774"/>
      <c r="B188" s="628" t="s">
        <v>1791</v>
      </c>
      <c r="C188" s="776"/>
      <c r="D188" s="1268" t="s">
        <v>2037</v>
      </c>
      <c r="E188" s="623">
        <f t="shared" si="41"/>
        <v>3516</v>
      </c>
      <c r="F188" s="1270">
        <v>2013</v>
      </c>
      <c r="G188" s="1271"/>
      <c r="H188" s="1269"/>
      <c r="I188" s="768">
        <f t="shared" si="40"/>
        <v>3516</v>
      </c>
      <c r="J188" s="1269">
        <v>3516</v>
      </c>
      <c r="K188" s="1269">
        <v>3516</v>
      </c>
      <c r="L188" s="623">
        <f t="shared" si="42"/>
        <v>100</v>
      </c>
    </row>
    <row r="189" spans="1:17" ht="16.5">
      <c r="A189" s="771"/>
      <c r="B189" s="628" t="s">
        <v>1792</v>
      </c>
      <c r="C189" s="772"/>
      <c r="D189" s="1268" t="s">
        <v>2038</v>
      </c>
      <c r="E189" s="623">
        <f t="shared" si="41"/>
        <v>1023</v>
      </c>
      <c r="F189" s="1270">
        <v>2013</v>
      </c>
      <c r="G189" s="1271"/>
      <c r="H189" s="1269"/>
      <c r="I189" s="768">
        <f t="shared" si="40"/>
        <v>1023</v>
      </c>
      <c r="J189" s="1269">
        <v>1023</v>
      </c>
      <c r="K189" s="1269">
        <v>1023</v>
      </c>
      <c r="L189" s="623">
        <f t="shared" si="42"/>
        <v>100</v>
      </c>
    </row>
    <row r="190" spans="1:17" ht="16.5">
      <c r="A190" s="771"/>
      <c r="B190" s="628" t="s">
        <v>2043</v>
      </c>
      <c r="C190" s="772"/>
      <c r="D190" s="1268" t="s">
        <v>2039</v>
      </c>
      <c r="E190" s="623">
        <f t="shared" si="41"/>
        <v>417</v>
      </c>
      <c r="F190" s="1270">
        <v>2013</v>
      </c>
      <c r="G190" s="1271"/>
      <c r="H190" s="1269"/>
      <c r="I190" s="768">
        <f t="shared" si="40"/>
        <v>417</v>
      </c>
      <c r="J190" s="1269">
        <v>417</v>
      </c>
      <c r="K190" s="1269">
        <v>417</v>
      </c>
      <c r="L190" s="623">
        <f t="shared" si="42"/>
        <v>100</v>
      </c>
    </row>
    <row r="191" spans="1:17" ht="16.5">
      <c r="A191" s="771"/>
      <c r="B191" s="628" t="s">
        <v>2044</v>
      </c>
      <c r="C191" s="772"/>
      <c r="D191" s="1268" t="s">
        <v>2040</v>
      </c>
      <c r="E191" s="623">
        <f t="shared" si="41"/>
        <v>58</v>
      </c>
      <c r="F191" s="1270">
        <v>2013</v>
      </c>
      <c r="G191" s="1271"/>
      <c r="H191" s="1272"/>
      <c r="I191" s="768">
        <f t="shared" si="40"/>
        <v>58</v>
      </c>
      <c r="J191" s="1269">
        <v>58</v>
      </c>
      <c r="K191" s="1269">
        <v>58</v>
      </c>
      <c r="L191" s="623">
        <f t="shared" si="42"/>
        <v>100</v>
      </c>
    </row>
    <row r="192" spans="1:17" s="727" customFormat="1" ht="17.25">
      <c r="A192" s="774"/>
      <c r="B192" s="628" t="s">
        <v>2045</v>
      </c>
      <c r="C192" s="776"/>
      <c r="D192" s="1268" t="s">
        <v>2041</v>
      </c>
      <c r="E192" s="623">
        <f t="shared" si="41"/>
        <v>107</v>
      </c>
      <c r="F192" s="1270">
        <v>2013</v>
      </c>
      <c r="G192" s="1271"/>
      <c r="H192" s="1273"/>
      <c r="I192" s="768"/>
      <c r="J192" s="1269">
        <v>107</v>
      </c>
      <c r="K192" s="1269">
        <v>107</v>
      </c>
      <c r="L192" s="623">
        <f t="shared" si="42"/>
        <v>100</v>
      </c>
    </row>
    <row r="193" spans="1:18" ht="16.5">
      <c r="A193" s="771"/>
      <c r="B193" s="628" t="s">
        <v>2046</v>
      </c>
      <c r="C193" s="773"/>
      <c r="D193" s="1268" t="s">
        <v>2042</v>
      </c>
      <c r="E193" s="623">
        <f t="shared" si="41"/>
        <v>222</v>
      </c>
      <c r="F193" s="1270">
        <v>2013</v>
      </c>
      <c r="G193" s="1271"/>
      <c r="H193" s="1273"/>
      <c r="I193" s="768"/>
      <c r="J193" s="1272">
        <v>222</v>
      </c>
      <c r="K193" s="1272">
        <v>222</v>
      </c>
      <c r="L193" s="623">
        <f t="shared" si="42"/>
        <v>100</v>
      </c>
    </row>
    <row r="194" spans="1:18" ht="16.5" hidden="1">
      <c r="A194" s="771"/>
      <c r="B194" s="827"/>
      <c r="C194" s="773"/>
      <c r="D194" s="770"/>
      <c r="E194" s="630"/>
      <c r="F194" s="780"/>
      <c r="G194" s="630"/>
      <c r="H194" s="630"/>
      <c r="I194" s="781"/>
      <c r="J194" s="630"/>
      <c r="K194" s="630"/>
      <c r="L194" s="623"/>
    </row>
    <row r="195" spans="1:18" ht="16.5" hidden="1">
      <c r="A195" s="771"/>
      <c r="B195" s="827"/>
      <c r="C195" s="773"/>
      <c r="D195" s="770"/>
      <c r="E195" s="630"/>
      <c r="F195" s="780"/>
      <c r="G195" s="630"/>
      <c r="H195" s="630"/>
      <c r="I195" s="781"/>
      <c r="J195" s="623"/>
      <c r="K195" s="623"/>
      <c r="L195" s="623"/>
    </row>
    <row r="196" spans="1:18" ht="16.5" hidden="1">
      <c r="A196" s="771"/>
      <c r="B196" s="827"/>
      <c r="C196" s="773"/>
      <c r="D196" s="770"/>
      <c r="E196" s="623"/>
      <c r="F196" s="780"/>
      <c r="G196" s="623"/>
      <c r="H196" s="623"/>
      <c r="I196" s="781"/>
      <c r="J196" s="779"/>
      <c r="K196" s="779"/>
      <c r="L196" s="623"/>
    </row>
    <row r="197" spans="1:18" s="727" customFormat="1" ht="17.25" hidden="1">
      <c r="A197" s="774"/>
      <c r="B197" s="775"/>
      <c r="C197" s="778"/>
      <c r="D197" s="769"/>
      <c r="E197" s="779"/>
      <c r="F197" s="780"/>
      <c r="G197" s="779"/>
      <c r="H197" s="779"/>
      <c r="I197" s="781"/>
      <c r="J197" s="623"/>
      <c r="K197" s="623"/>
      <c r="L197" s="623"/>
    </row>
    <row r="198" spans="1:18" ht="16.5" hidden="1">
      <c r="A198" s="771"/>
      <c r="B198" s="827"/>
      <c r="C198" s="773"/>
      <c r="D198" s="770"/>
      <c r="E198" s="623"/>
      <c r="F198" s="780"/>
      <c r="G198" s="623"/>
      <c r="H198" s="623"/>
      <c r="I198" s="781"/>
      <c r="J198" s="779"/>
      <c r="K198" s="779"/>
      <c r="L198" s="623"/>
    </row>
    <row r="199" spans="1:18" s="727" customFormat="1" ht="17.25" hidden="1">
      <c r="A199" s="774"/>
      <c r="B199" s="775"/>
      <c r="C199" s="778"/>
      <c r="D199" s="769"/>
      <c r="E199" s="779"/>
      <c r="F199" s="780"/>
      <c r="G199" s="779"/>
      <c r="H199" s="779"/>
      <c r="I199" s="781"/>
      <c r="J199" s="623"/>
      <c r="K199" s="623"/>
      <c r="L199" s="623"/>
    </row>
    <row r="200" spans="1:18" ht="16.5" hidden="1">
      <c r="A200" s="771"/>
      <c r="B200" s="827"/>
      <c r="C200" s="773"/>
      <c r="D200" s="770"/>
      <c r="E200" s="623"/>
      <c r="F200" s="780"/>
      <c r="G200" s="623"/>
      <c r="H200" s="623"/>
      <c r="I200" s="781"/>
      <c r="J200" s="1234"/>
      <c r="K200" s="1235"/>
      <c r="L200" s="623"/>
    </row>
    <row r="201" spans="1:18" s="619" customFormat="1" ht="27.75" customHeight="1" thickBot="1">
      <c r="A201" s="640"/>
      <c r="B201" s="641"/>
      <c r="C201" s="641"/>
      <c r="D201" s="642" t="s">
        <v>1838</v>
      </c>
      <c r="E201" s="767">
        <f>E3+E123</f>
        <v>765380</v>
      </c>
      <c r="F201" s="767"/>
      <c r="G201" s="767"/>
      <c r="H201" s="767">
        <f>H3+H123</f>
        <v>116000</v>
      </c>
      <c r="I201" s="767"/>
      <c r="J201" s="767">
        <f>J3+J123</f>
        <v>765380</v>
      </c>
      <c r="K201" s="639">
        <f>K3+K123</f>
        <v>545922</v>
      </c>
      <c r="L201" s="639">
        <f>K201/J201*100</f>
        <v>71.326922574407476</v>
      </c>
      <c r="N201" s="619">
        <f>SUM(H201,'6.1.sz.mell. '!H28)</f>
        <v>141000</v>
      </c>
      <c r="O201" s="619">
        <f>SUM(I201,'6.1.sz.mell. '!I28)</f>
        <v>0</v>
      </c>
      <c r="P201" s="619">
        <f>SUM(J201,'6.1.sz.mell. '!J28)</f>
        <v>795644</v>
      </c>
      <c r="Q201" s="619">
        <f>SUM(K201,'6.1.sz.mell. '!K28)</f>
        <v>575633</v>
      </c>
      <c r="R201" s="1581">
        <f>SUM(Q201/P201)</f>
        <v>0.72348060187722152</v>
      </c>
    </row>
    <row r="206" spans="1:18" ht="18.75">
      <c r="F206" s="1211">
        <v>664141</v>
      </c>
      <c r="H206" s="1211">
        <v>417988</v>
      </c>
      <c r="I206" s="86">
        <f t="shared" ref="I206:I208" si="43">SUM(H206/F206)*100</f>
        <v>62.936635443377234</v>
      </c>
    </row>
    <row r="207" spans="1:18" ht="18.75">
      <c r="F207" s="1211">
        <v>17440</v>
      </c>
      <c r="G207" s="1211"/>
      <c r="H207" s="1211">
        <v>4919</v>
      </c>
      <c r="I207" s="86">
        <f t="shared" si="43"/>
        <v>28.205275229357795</v>
      </c>
    </row>
    <row r="208" spans="1:18" ht="18.75">
      <c r="F208" s="1211">
        <v>637165</v>
      </c>
      <c r="G208" s="1211"/>
      <c r="H208" s="1211">
        <v>401741</v>
      </c>
      <c r="I208" s="86">
        <f t="shared" si="43"/>
        <v>63.051328933635716</v>
      </c>
    </row>
    <row r="209" spans="6:9" ht="18.75">
      <c r="F209" s="1214">
        <f>SUM(F206-F207-F208)</f>
        <v>9536</v>
      </c>
      <c r="G209" s="1214"/>
      <c r="H209" s="1214">
        <f t="shared" ref="H209" si="44">SUM(H206-H207-H208)</f>
        <v>11328</v>
      </c>
      <c r="I209" s="86">
        <f>SUM(H209/F209)*100</f>
        <v>118.79194630872483</v>
      </c>
    </row>
    <row r="210" spans="6:9" ht="18.75">
      <c r="F210" s="1211"/>
      <c r="G210" s="1211"/>
      <c r="H210" s="1211"/>
    </row>
    <row r="211" spans="6:9" ht="18.75">
      <c r="F211" s="1211"/>
      <c r="G211" s="1211"/>
      <c r="H211" s="1211"/>
    </row>
  </sheetData>
  <sheetProtection selectLockedCells="1" selectUnlockedCells="1"/>
  <mergeCells count="48">
    <mergeCell ref="M106:S106"/>
    <mergeCell ref="M101:S101"/>
    <mergeCell ref="M102:S102"/>
    <mergeCell ref="M103:S103"/>
    <mergeCell ref="M104:S104"/>
    <mergeCell ref="M105:S105"/>
    <mergeCell ref="M96:S96"/>
    <mergeCell ref="M97:S97"/>
    <mergeCell ref="M98:S98"/>
    <mergeCell ref="M99:S99"/>
    <mergeCell ref="M100:S100"/>
    <mergeCell ref="M91:S91"/>
    <mergeCell ref="M92:S92"/>
    <mergeCell ref="M93:S93"/>
    <mergeCell ref="M94:S94"/>
    <mergeCell ref="M95:S95"/>
    <mergeCell ref="M184:Q184"/>
    <mergeCell ref="M185:Q185"/>
    <mergeCell ref="M115:S115"/>
    <mergeCell ref="M116:S116"/>
    <mergeCell ref="M181:Q181"/>
    <mergeCell ref="M182:Q182"/>
    <mergeCell ref="M183:Q183"/>
    <mergeCell ref="M172:Q172"/>
    <mergeCell ref="M166:Q166"/>
    <mergeCell ref="M168:Q168"/>
    <mergeCell ref="M171:Q171"/>
    <mergeCell ref="M121:S121"/>
    <mergeCell ref="M119:S119"/>
    <mergeCell ref="M120:S120"/>
    <mergeCell ref="M169:Q169"/>
    <mergeCell ref="M170:Q170"/>
    <mergeCell ref="A123:D123"/>
    <mergeCell ref="M164:Q164"/>
    <mergeCell ref="A1:C1"/>
    <mergeCell ref="A3:D3"/>
    <mergeCell ref="M66:P66"/>
    <mergeCell ref="M107:S107"/>
    <mergeCell ref="M122:S122"/>
    <mergeCell ref="M108:S108"/>
    <mergeCell ref="M109:S109"/>
    <mergeCell ref="M110:S110"/>
    <mergeCell ref="M112:S112"/>
    <mergeCell ref="M111:S111"/>
    <mergeCell ref="M113:S113"/>
    <mergeCell ref="M114:S114"/>
    <mergeCell ref="M117:S117"/>
    <mergeCell ref="M118:S118"/>
  </mergeCells>
  <printOptions horizontalCentered="1"/>
  <pageMargins left="0.27559055118110237" right="0.31496062992125984" top="0.74803149606299213" bottom="0.47244094488188981" header="0.35433070866141736" footer="0.23622047244094491"/>
  <pageSetup paperSize="9" scale="80" firstPageNumber="104" orientation="landscape" r:id="rId1"/>
  <headerFooter alignWithMargins="0">
    <oddHeader xml:space="preserve">&amp;C&amp;"Times New Roman CE,Félkövér"&amp;14Vecsés Város  beruházási kiadásainak előirányzata beruházásonként&amp;R&amp;"Times New Roman CE,Félkövér"&amp;12 &amp;"Arial,Normál" 6.2. sz. mellékletEzer Ft         &amp;"Times New Roman CE,Általános"&amp;10   </oddHeader>
    <oddFooter>&amp;C- &amp;P -</oddFooter>
  </headerFooter>
  <rowBreaks count="5" manualBreakCount="5">
    <brk id="29" max="11" man="1"/>
    <brk id="59" max="11" man="1"/>
    <brk id="102" max="11" man="1"/>
    <brk id="157" max="11" man="1"/>
    <brk id="174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view="pageBreakPreview" topLeftCell="A51" zoomScale="120" zoomScaleNormal="110" zoomScaleSheetLayoutView="120" workbookViewId="0">
      <selection activeCell="I60" sqref="I60"/>
    </sheetView>
  </sheetViews>
  <sheetFormatPr defaultRowHeight="12.75"/>
  <cols>
    <col min="1" max="1" width="3.33203125" style="274" customWidth="1"/>
    <col min="2" max="2" width="4" style="274" customWidth="1"/>
    <col min="3" max="3" width="8" style="274" customWidth="1"/>
    <col min="4" max="4" width="60.5" style="274" customWidth="1"/>
    <col min="5" max="8" width="9.33203125" style="274" hidden="1" customWidth="1"/>
    <col min="9" max="10" width="14.33203125" style="274" customWidth="1"/>
    <col min="11" max="16384" width="9.33203125" style="274"/>
  </cols>
  <sheetData>
    <row r="1" spans="1:10" ht="48" customHeight="1">
      <c r="A1" s="1975" t="s">
        <v>318</v>
      </c>
      <c r="B1" s="1975"/>
      <c r="C1" s="1975"/>
      <c r="D1" s="330" t="s">
        <v>258</v>
      </c>
      <c r="E1" s="330" t="s">
        <v>1072</v>
      </c>
      <c r="F1" s="330" t="s">
        <v>1073</v>
      </c>
      <c r="G1" s="330" t="s">
        <v>1074</v>
      </c>
      <c r="H1" s="330" t="s">
        <v>926</v>
      </c>
      <c r="I1" s="528" t="s">
        <v>1258</v>
      </c>
      <c r="J1" s="528" t="s">
        <v>1922</v>
      </c>
    </row>
    <row r="2" spans="1:10" ht="17.25" customHeight="1">
      <c r="A2" s="643" t="s">
        <v>4</v>
      </c>
      <c r="B2" s="644"/>
      <c r="C2" s="645"/>
      <c r="D2" s="646" t="s">
        <v>1075</v>
      </c>
      <c r="E2" s="647" t="e">
        <f>SUM(E3+#REF!+#REF!+#REF!)</f>
        <v>#REF!</v>
      </c>
      <c r="F2" s="647" t="e">
        <f>SUM(F3+#REF!+#REF!+#REF!)</f>
        <v>#REF!</v>
      </c>
      <c r="G2" s="647" t="e">
        <f>SUM(G3+#REF!+#REF!+#REF!)</f>
        <v>#REF!</v>
      </c>
      <c r="H2" s="647" t="e">
        <f>SUM(H3+#REF!+#REF!+#REF!)</f>
        <v>#REF!</v>
      </c>
      <c r="I2" s="647">
        <f>SUM(I3)</f>
        <v>1000</v>
      </c>
      <c r="J2" s="647">
        <f>SUM(J3)</f>
        <v>36536</v>
      </c>
    </row>
    <row r="3" spans="1:10" ht="17.25" customHeight="1">
      <c r="A3" s="643"/>
      <c r="B3" s="648" t="s">
        <v>102</v>
      </c>
      <c r="C3" s="649"/>
      <c r="D3" s="650" t="s">
        <v>1076</v>
      </c>
      <c r="E3" s="651">
        <v>28633</v>
      </c>
      <c r="F3" s="651">
        <v>5000</v>
      </c>
      <c r="G3" s="651" t="e">
        <f>SUM(G4+#REF!)</f>
        <v>#REF!</v>
      </c>
      <c r="H3" s="651" t="e">
        <f>SUM(H4+#REF!)</f>
        <v>#REF!</v>
      </c>
      <c r="I3" s="651">
        <f>SUM(I4)</f>
        <v>1000</v>
      </c>
      <c r="J3" s="651">
        <f>SUM(J4+J9+J10+J11+J12+J13+J14)</f>
        <v>36536</v>
      </c>
    </row>
    <row r="4" spans="1:10" s="295" customFormat="1" ht="15">
      <c r="A4" s="652"/>
      <c r="B4" s="653"/>
      <c r="C4" s="654" t="s">
        <v>939</v>
      </c>
      <c r="D4" s="655" t="s">
        <v>1077</v>
      </c>
      <c r="E4" s="656"/>
      <c r="F4" s="656">
        <f>SUM(F16:F22)</f>
        <v>2000</v>
      </c>
      <c r="G4" s="656">
        <f>SUM(G5:G8)</f>
        <v>1800</v>
      </c>
      <c r="H4" s="657">
        <f>SUM(H5:H8)</f>
        <v>2000</v>
      </c>
      <c r="I4" s="657">
        <f>SUM(I5+I8+I6)</f>
        <v>1000</v>
      </c>
      <c r="J4" s="1015">
        <f>SUM(J5+J8+J6)</f>
        <v>547</v>
      </c>
    </row>
    <row r="5" spans="1:10" s="303" customFormat="1" ht="17.25" customHeight="1">
      <c r="A5" s="658"/>
      <c r="B5" s="659"/>
      <c r="C5" s="660" t="s">
        <v>323</v>
      </c>
      <c r="D5" s="661" t="s">
        <v>1078</v>
      </c>
      <c r="E5" s="656"/>
      <c r="F5" s="656"/>
      <c r="G5" s="656">
        <v>800</v>
      </c>
      <c r="H5" s="657">
        <v>800</v>
      </c>
      <c r="I5" s="657"/>
      <c r="J5" s="657"/>
    </row>
    <row r="6" spans="1:10" s="303" customFormat="1" ht="17.25" customHeight="1">
      <c r="A6" s="658"/>
      <c r="B6" s="659"/>
      <c r="C6" s="660" t="s">
        <v>1079</v>
      </c>
      <c r="D6" s="662" t="s">
        <v>1080</v>
      </c>
      <c r="E6" s="656"/>
      <c r="F6" s="656">
        <v>150</v>
      </c>
      <c r="G6" s="656">
        <v>0</v>
      </c>
      <c r="H6" s="657">
        <v>400</v>
      </c>
      <c r="I6" s="657"/>
      <c r="J6" s="1015"/>
    </row>
    <row r="7" spans="1:10">
      <c r="A7" s="658"/>
      <c r="B7" s="659"/>
      <c r="C7" s="660" t="s">
        <v>1081</v>
      </c>
      <c r="D7" s="661" t="s">
        <v>1082</v>
      </c>
      <c r="E7" s="656"/>
      <c r="F7" s="656"/>
      <c r="G7" s="656">
        <v>500</v>
      </c>
      <c r="H7" s="657">
        <v>500</v>
      </c>
      <c r="I7" s="657"/>
      <c r="J7" s="657"/>
    </row>
    <row r="8" spans="1:10" s="303" customFormat="1" ht="18" customHeight="1">
      <c r="A8" s="658"/>
      <c r="B8" s="659"/>
      <c r="C8" s="660" t="s">
        <v>1083</v>
      </c>
      <c r="D8" s="661" t="s">
        <v>1084</v>
      </c>
      <c r="E8" s="656"/>
      <c r="F8" s="656"/>
      <c r="G8" s="656">
        <v>500</v>
      </c>
      <c r="H8" s="657">
        <v>300</v>
      </c>
      <c r="I8" s="657">
        <v>1000</v>
      </c>
      <c r="J8" s="657">
        <v>547</v>
      </c>
    </row>
    <row r="9" spans="1:10" s="295" customFormat="1" ht="15">
      <c r="A9" s="652"/>
      <c r="B9" s="653"/>
      <c r="C9" s="654" t="s">
        <v>893</v>
      </c>
      <c r="D9" s="655" t="s">
        <v>1722</v>
      </c>
      <c r="E9" s="656"/>
      <c r="F9" s="656">
        <f>SUM(F21:F27)</f>
        <v>800</v>
      </c>
      <c r="G9" s="656">
        <f>SUM(G10:G13)</f>
        <v>0</v>
      </c>
      <c r="H9" s="657">
        <f>SUM(H10:H13)</f>
        <v>0</v>
      </c>
      <c r="I9" s="657"/>
      <c r="J9" s="657">
        <v>15933</v>
      </c>
    </row>
    <row r="10" spans="1:10" s="295" customFormat="1" ht="15">
      <c r="A10" s="652"/>
      <c r="B10" s="653"/>
      <c r="C10" s="654" t="s">
        <v>895</v>
      </c>
      <c r="D10" s="655" t="s">
        <v>1723</v>
      </c>
      <c r="E10" s="656"/>
      <c r="F10" s="656" t="e">
        <f>SUM(F22:F28)</f>
        <v>#REF!</v>
      </c>
      <c r="G10" s="656">
        <f>SUM(G11:G15)</f>
        <v>0</v>
      </c>
      <c r="H10" s="657">
        <f>SUM(H11:H15)</f>
        <v>0</v>
      </c>
      <c r="I10" s="657"/>
      <c r="J10" s="657">
        <v>648</v>
      </c>
    </row>
    <row r="11" spans="1:10" s="295" customFormat="1" ht="15">
      <c r="A11" s="652"/>
      <c r="B11" s="653"/>
      <c r="C11" s="654" t="s">
        <v>896</v>
      </c>
      <c r="D11" s="655" t="s">
        <v>1724</v>
      </c>
      <c r="E11" s="656"/>
      <c r="F11" s="656" t="e">
        <f>SUM(F23:F29)</f>
        <v>#REF!</v>
      </c>
      <c r="G11" s="656">
        <f>SUM(G12:G16)</f>
        <v>0</v>
      </c>
      <c r="H11" s="657">
        <f>SUM(H12:H16)</f>
        <v>0</v>
      </c>
      <c r="I11" s="657"/>
      <c r="J11" s="657">
        <v>12828</v>
      </c>
    </row>
    <row r="12" spans="1:10" s="295" customFormat="1" ht="15">
      <c r="A12" s="652"/>
      <c r="B12" s="653"/>
      <c r="C12" s="654" t="s">
        <v>354</v>
      </c>
      <c r="D12" s="655" t="s">
        <v>1725</v>
      </c>
      <c r="E12" s="656"/>
      <c r="F12" s="656"/>
      <c r="G12" s="656"/>
      <c r="H12" s="657"/>
      <c r="I12" s="657"/>
      <c r="J12" s="657">
        <v>86</v>
      </c>
    </row>
    <row r="13" spans="1:10" s="295" customFormat="1" ht="15">
      <c r="A13" s="652"/>
      <c r="B13" s="653"/>
      <c r="C13" s="654" t="s">
        <v>1085</v>
      </c>
      <c r="D13" s="655" t="s">
        <v>1927</v>
      </c>
      <c r="E13" s="656"/>
      <c r="F13" s="656"/>
      <c r="G13" s="656"/>
      <c r="H13" s="657"/>
      <c r="I13" s="657"/>
      <c r="J13" s="657">
        <v>6494</v>
      </c>
    </row>
    <row r="14" spans="1:10" s="295" customFormat="1" ht="15" hidden="1">
      <c r="A14" s="652"/>
      <c r="B14" s="653"/>
      <c r="C14" s="654" t="s">
        <v>1086</v>
      </c>
      <c r="D14" s="655"/>
      <c r="E14" s="656"/>
      <c r="F14" s="656"/>
      <c r="G14" s="656"/>
      <c r="H14" s="657"/>
      <c r="I14" s="657"/>
      <c r="J14" s="657"/>
    </row>
    <row r="15" spans="1:10" s="303" customFormat="1" ht="17.25" hidden="1" customHeight="1">
      <c r="A15" s="658"/>
      <c r="B15" s="659"/>
      <c r="C15" s="660" t="s">
        <v>1087</v>
      </c>
      <c r="D15" s="662" t="s">
        <v>1088</v>
      </c>
      <c r="E15" s="656"/>
      <c r="F15" s="656"/>
      <c r="G15" s="656"/>
      <c r="H15" s="657"/>
      <c r="I15" s="657"/>
      <c r="J15" s="657"/>
    </row>
    <row r="16" spans="1:10" s="303" customFormat="1" ht="17.25" hidden="1" customHeight="1">
      <c r="A16" s="658"/>
      <c r="B16" s="659"/>
      <c r="C16" s="663" t="s">
        <v>323</v>
      </c>
      <c r="D16" s="664" t="s">
        <v>1089</v>
      </c>
      <c r="E16" s="656"/>
      <c r="F16" s="656">
        <v>400</v>
      </c>
      <c r="G16" s="656"/>
      <c r="H16" s="657"/>
      <c r="I16" s="657"/>
      <c r="J16" s="657"/>
    </row>
    <row r="17" spans="1:10" s="303" customFormat="1" ht="17.25" hidden="1" customHeight="1">
      <c r="A17" s="658"/>
      <c r="B17" s="659"/>
      <c r="C17" s="663" t="s">
        <v>1079</v>
      </c>
      <c r="D17" s="664" t="s">
        <v>1090</v>
      </c>
      <c r="E17" s="656"/>
      <c r="F17" s="656">
        <v>200</v>
      </c>
      <c r="G17" s="656"/>
      <c r="H17" s="657"/>
      <c r="I17" s="657"/>
      <c r="J17" s="657"/>
    </row>
    <row r="18" spans="1:10" s="303" customFormat="1" ht="17.25" hidden="1" customHeight="1">
      <c r="A18" s="658"/>
      <c r="B18" s="659"/>
      <c r="C18" s="663" t="s">
        <v>1081</v>
      </c>
      <c r="D18" s="664" t="s">
        <v>1091</v>
      </c>
      <c r="E18" s="656"/>
      <c r="F18" s="656">
        <v>100</v>
      </c>
      <c r="G18" s="656"/>
      <c r="H18" s="657"/>
      <c r="I18" s="657"/>
      <c r="J18" s="657"/>
    </row>
    <row r="19" spans="1:10" s="303" customFormat="1" ht="17.25" hidden="1" customHeight="1">
      <c r="A19" s="658"/>
      <c r="B19" s="659"/>
      <c r="C19" s="663" t="s">
        <v>1083</v>
      </c>
      <c r="D19" s="664" t="s">
        <v>1092</v>
      </c>
      <c r="E19" s="656"/>
      <c r="F19" s="656">
        <v>300</v>
      </c>
      <c r="G19" s="656"/>
      <c r="H19" s="657"/>
      <c r="I19" s="657"/>
      <c r="J19" s="657"/>
    </row>
    <row r="20" spans="1:10" s="303" customFormat="1" ht="17.25" hidden="1" customHeight="1">
      <c r="A20" s="658"/>
      <c r="B20" s="659"/>
      <c r="C20" s="663" t="s">
        <v>1093</v>
      </c>
      <c r="D20" s="664" t="s">
        <v>1094</v>
      </c>
      <c r="E20" s="656"/>
      <c r="F20" s="656">
        <v>200</v>
      </c>
      <c r="G20" s="656"/>
      <c r="H20" s="657"/>
      <c r="I20" s="657"/>
      <c r="J20" s="657"/>
    </row>
    <row r="21" spans="1:10" s="303" customFormat="1" ht="17.25" hidden="1" customHeight="1">
      <c r="A21" s="658"/>
      <c r="B21" s="659"/>
      <c r="C21" s="663" t="s">
        <v>1095</v>
      </c>
      <c r="D21" s="664" t="s">
        <v>1096</v>
      </c>
      <c r="E21" s="656"/>
      <c r="F21" s="656">
        <v>500</v>
      </c>
      <c r="G21" s="656"/>
      <c r="H21" s="657"/>
      <c r="I21" s="657"/>
      <c r="J21" s="657"/>
    </row>
    <row r="22" spans="1:10" s="303" customFormat="1" ht="17.25" hidden="1" customHeight="1">
      <c r="A22" s="658"/>
      <c r="B22" s="659"/>
      <c r="C22" s="663" t="s">
        <v>1097</v>
      </c>
      <c r="D22" s="664" t="s">
        <v>1098</v>
      </c>
      <c r="E22" s="656"/>
      <c r="F22" s="656">
        <v>300</v>
      </c>
      <c r="G22" s="656"/>
      <c r="H22" s="657"/>
      <c r="I22" s="657"/>
      <c r="J22" s="657"/>
    </row>
    <row r="23" spans="1:10" ht="30" hidden="1" customHeight="1">
      <c r="A23" s="643"/>
      <c r="B23" s="648"/>
      <c r="C23" s="665" t="s">
        <v>186</v>
      </c>
      <c r="D23" s="666" t="s">
        <v>1099</v>
      </c>
      <c r="E23" s="656"/>
      <c r="F23" s="656"/>
      <c r="G23" s="656">
        <v>0</v>
      </c>
      <c r="H23" s="657"/>
      <c r="I23" s="657"/>
      <c r="J23" s="657"/>
    </row>
    <row r="24" spans="1:10" ht="23.25" hidden="1" customHeight="1">
      <c r="A24" s="643"/>
      <c r="B24" s="648"/>
      <c r="C24" s="654" t="s">
        <v>340</v>
      </c>
      <c r="D24" s="666" t="s">
        <v>1100</v>
      </c>
      <c r="E24" s="656"/>
      <c r="F24" s="656"/>
      <c r="G24" s="656"/>
      <c r="H24" s="657"/>
      <c r="I24" s="657"/>
      <c r="J24" s="657"/>
    </row>
    <row r="25" spans="1:10" hidden="1"/>
    <row r="26" spans="1:10" hidden="1"/>
    <row r="27" spans="1:10" hidden="1"/>
    <row r="28" spans="1:10" ht="17.25" customHeight="1">
      <c r="A28" s="643" t="s">
        <v>5</v>
      </c>
      <c r="B28" s="667"/>
      <c r="C28" s="649"/>
      <c r="D28" s="668" t="s">
        <v>1101</v>
      </c>
      <c r="E28" s="669" t="e">
        <f>SUM(#REF!+E37+E36+E30+E29)</f>
        <v>#REF!</v>
      </c>
      <c r="F28" s="669" t="e">
        <f>SUM(#REF!+F37+F36+F30+F29)</f>
        <v>#REF!</v>
      </c>
      <c r="G28" s="669" t="e">
        <f>SUM(#REF!+G37+G36+G30+G29)</f>
        <v>#REF!</v>
      </c>
      <c r="H28" s="669" t="e">
        <f>SUM(#REF!+H37+H36+H30+H29)</f>
        <v>#REF!</v>
      </c>
      <c r="I28" s="669">
        <f>SUM(I37+I36+I30+I29)</f>
        <v>4350</v>
      </c>
      <c r="J28" s="669">
        <f>SUM(J37+J36+J30+J29)</f>
        <v>2650</v>
      </c>
    </row>
    <row r="29" spans="1:10" ht="17.25" hidden="1" customHeight="1">
      <c r="A29" s="643"/>
      <c r="B29" s="648" t="s">
        <v>6</v>
      </c>
      <c r="C29" s="649"/>
      <c r="D29" s="670"/>
      <c r="E29" s="651">
        <v>9330</v>
      </c>
      <c r="F29" s="651">
        <v>4740</v>
      </c>
      <c r="G29" s="651">
        <v>5431</v>
      </c>
      <c r="H29" s="671">
        <v>5862</v>
      </c>
      <c r="I29" s="671">
        <v>0</v>
      </c>
      <c r="J29" s="671"/>
    </row>
    <row r="30" spans="1:10" ht="17.25" hidden="1" customHeight="1">
      <c r="A30" s="643"/>
      <c r="B30" s="648" t="s">
        <v>8</v>
      </c>
      <c r="C30" s="649"/>
      <c r="D30" s="670"/>
      <c r="E30" s="651">
        <v>12055</v>
      </c>
      <c r="F30" s="651">
        <v>2009</v>
      </c>
      <c r="G30" s="651">
        <v>1950</v>
      </c>
      <c r="H30" s="671">
        <v>2005</v>
      </c>
      <c r="I30" s="671">
        <f>SUM(I31:I35)</f>
        <v>0</v>
      </c>
      <c r="J30" s="671">
        <f>SUM(J31:J35)</f>
        <v>0</v>
      </c>
    </row>
    <row r="31" spans="1:10" ht="28.5" hidden="1" customHeight="1">
      <c r="A31" s="643"/>
      <c r="B31" s="628" t="s">
        <v>807</v>
      </c>
      <c r="C31" s="649"/>
      <c r="D31" s="672"/>
      <c r="E31" s="651"/>
      <c r="F31" s="651"/>
      <c r="G31" s="651"/>
      <c r="H31" s="671">
        <v>2005</v>
      </c>
      <c r="I31" s="671"/>
      <c r="J31" s="671"/>
    </row>
    <row r="32" spans="1:10" ht="17.25" hidden="1" customHeight="1">
      <c r="A32" s="643"/>
      <c r="B32" s="628" t="s">
        <v>1102</v>
      </c>
      <c r="C32" s="649"/>
      <c r="D32" s="672"/>
      <c r="E32" s="651"/>
      <c r="F32" s="651"/>
      <c r="G32" s="651"/>
      <c r="H32" s="671"/>
      <c r="I32" s="671"/>
      <c r="J32" s="671"/>
    </row>
    <row r="33" spans="1:10" ht="17.25" hidden="1" customHeight="1">
      <c r="A33" s="643"/>
      <c r="B33" s="628" t="s">
        <v>1103</v>
      </c>
      <c r="C33" s="649"/>
      <c r="D33" s="672"/>
      <c r="E33" s="651"/>
      <c r="F33" s="651"/>
      <c r="G33" s="651"/>
      <c r="H33" s="671"/>
      <c r="I33" s="671"/>
      <c r="J33" s="671"/>
    </row>
    <row r="34" spans="1:10" ht="17.25" hidden="1" customHeight="1">
      <c r="A34" s="643"/>
      <c r="B34" s="628" t="s">
        <v>1104</v>
      </c>
      <c r="C34" s="649"/>
      <c r="D34" s="672"/>
      <c r="E34" s="651"/>
      <c r="F34" s="651"/>
      <c r="G34" s="651"/>
      <c r="H34" s="671"/>
      <c r="I34" s="671"/>
      <c r="J34" s="671"/>
    </row>
    <row r="35" spans="1:10" ht="17.25" hidden="1" customHeight="1">
      <c r="A35" s="643"/>
      <c r="B35" s="628" t="s">
        <v>1105</v>
      </c>
      <c r="C35" s="649"/>
      <c r="D35" s="672"/>
      <c r="E35" s="651"/>
      <c r="F35" s="651"/>
      <c r="G35" s="651"/>
      <c r="H35" s="671"/>
      <c r="I35" s="671"/>
      <c r="J35" s="671"/>
    </row>
    <row r="36" spans="1:10" ht="17.25" customHeight="1">
      <c r="A36" s="643"/>
      <c r="B36" s="628" t="s">
        <v>6</v>
      </c>
      <c r="C36" s="649"/>
      <c r="D36" s="673" t="s">
        <v>1106</v>
      </c>
      <c r="E36" s="651">
        <v>2500</v>
      </c>
      <c r="F36" s="651">
        <v>2600</v>
      </c>
      <c r="G36" s="651">
        <v>2601</v>
      </c>
      <c r="H36" s="671">
        <v>1850</v>
      </c>
      <c r="I36" s="671">
        <v>500</v>
      </c>
      <c r="J36" s="671">
        <v>0</v>
      </c>
    </row>
    <row r="37" spans="1:10" ht="17.25" customHeight="1">
      <c r="A37" s="643"/>
      <c r="B37" s="648" t="s">
        <v>304</v>
      </c>
      <c r="C37" s="649"/>
      <c r="D37" s="673" t="s">
        <v>1107</v>
      </c>
      <c r="E37" s="651">
        <f t="shared" ref="E37:I37" si="0">SUM(E38:E45)</f>
        <v>8500</v>
      </c>
      <c r="F37" s="651">
        <f t="shared" si="0"/>
        <v>8500</v>
      </c>
      <c r="G37" s="651">
        <f t="shared" si="0"/>
        <v>8500</v>
      </c>
      <c r="H37" s="651">
        <f t="shared" si="0"/>
        <v>3900</v>
      </c>
      <c r="I37" s="651">
        <f t="shared" si="0"/>
        <v>3850</v>
      </c>
      <c r="J37" s="651">
        <f>SUM(J38:J45)</f>
        <v>2650</v>
      </c>
    </row>
    <row r="38" spans="1:10" ht="17.25" customHeight="1">
      <c r="A38" s="674"/>
      <c r="B38" s="1976" t="s">
        <v>807</v>
      </c>
      <c r="C38" s="1976"/>
      <c r="D38" s="672" t="s">
        <v>1108</v>
      </c>
      <c r="E38" s="676">
        <v>1200</v>
      </c>
      <c r="F38" s="676">
        <v>1400</v>
      </c>
      <c r="G38" s="676">
        <v>1400</v>
      </c>
      <c r="H38" s="677">
        <v>1600</v>
      </c>
      <c r="I38" s="677">
        <v>1600</v>
      </c>
      <c r="J38" s="677">
        <v>400</v>
      </c>
    </row>
    <row r="39" spans="1:10" ht="17.25" customHeight="1">
      <c r="A39" s="674"/>
      <c r="B39" s="1976" t="s">
        <v>1102</v>
      </c>
      <c r="C39" s="1976"/>
      <c r="D39" s="672" t="s">
        <v>1109</v>
      </c>
      <c r="E39" s="676">
        <v>2500</v>
      </c>
      <c r="F39" s="676">
        <v>2800</v>
      </c>
      <c r="G39" s="676">
        <v>2800</v>
      </c>
      <c r="H39" s="657"/>
      <c r="I39" s="657"/>
      <c r="J39" s="657"/>
    </row>
    <row r="40" spans="1:10" ht="17.25" customHeight="1">
      <c r="A40" s="674"/>
      <c r="B40" s="1976" t="s">
        <v>1103</v>
      </c>
      <c r="C40" s="1976"/>
      <c r="D40" s="672" t="s">
        <v>1110</v>
      </c>
      <c r="E40" s="676">
        <v>500</v>
      </c>
      <c r="F40" s="676">
        <v>500</v>
      </c>
      <c r="G40" s="676">
        <v>500</v>
      </c>
      <c r="H40" s="677">
        <v>500</v>
      </c>
      <c r="I40" s="677">
        <v>1000</v>
      </c>
      <c r="J40" s="677">
        <v>1000</v>
      </c>
    </row>
    <row r="41" spans="1:10" ht="17.25" customHeight="1">
      <c r="A41" s="674"/>
      <c r="B41" s="1976" t="s">
        <v>1104</v>
      </c>
      <c r="C41" s="1976"/>
      <c r="D41" s="672" t="s">
        <v>1111</v>
      </c>
      <c r="E41" s="676">
        <v>200</v>
      </c>
      <c r="F41" s="676">
        <v>200</v>
      </c>
      <c r="G41" s="676">
        <v>200</v>
      </c>
      <c r="H41" s="677">
        <v>200</v>
      </c>
      <c r="I41" s="677"/>
      <c r="J41" s="677"/>
    </row>
    <row r="42" spans="1:10" ht="17.25" customHeight="1">
      <c r="A42" s="674"/>
      <c r="B42" s="1976" t="s">
        <v>1105</v>
      </c>
      <c r="C42" s="1976"/>
      <c r="D42" s="672" t="s">
        <v>1112</v>
      </c>
      <c r="E42" s="676">
        <v>1500</v>
      </c>
      <c r="F42" s="676">
        <v>1000</v>
      </c>
      <c r="G42" s="676">
        <v>1000</v>
      </c>
      <c r="H42" s="677">
        <v>1000</v>
      </c>
      <c r="I42" s="677"/>
      <c r="J42" s="677"/>
    </row>
    <row r="43" spans="1:10" ht="17.25" customHeight="1">
      <c r="A43" s="674"/>
      <c r="B43" s="1976" t="s">
        <v>1308</v>
      </c>
      <c r="C43" s="1976"/>
      <c r="D43" s="672" t="s">
        <v>1113</v>
      </c>
      <c r="E43" s="676">
        <v>2000</v>
      </c>
      <c r="F43" s="676">
        <v>2000</v>
      </c>
      <c r="G43" s="676">
        <v>2000</v>
      </c>
      <c r="H43" s="678"/>
      <c r="I43" s="657">
        <v>350</v>
      </c>
      <c r="J43" s="657">
        <v>350</v>
      </c>
    </row>
    <row r="44" spans="1:10" ht="17.25" customHeight="1">
      <c r="A44" s="674"/>
      <c r="B44" s="1976" t="s">
        <v>1309</v>
      </c>
      <c r="C44" s="1976"/>
      <c r="D44" s="672" t="s">
        <v>1114</v>
      </c>
      <c r="E44" s="676"/>
      <c r="F44" s="676"/>
      <c r="G44" s="678"/>
      <c r="H44" s="679">
        <v>0</v>
      </c>
      <c r="I44" s="677">
        <v>350</v>
      </c>
      <c r="J44" s="677">
        <v>350</v>
      </c>
    </row>
    <row r="45" spans="1:10" ht="17.25" customHeight="1">
      <c r="A45" s="674"/>
      <c r="B45" s="1976" t="s">
        <v>1310</v>
      </c>
      <c r="C45" s="1976"/>
      <c r="D45" s="672" t="s">
        <v>1115</v>
      </c>
      <c r="E45" s="676">
        <v>600</v>
      </c>
      <c r="F45" s="676">
        <v>600</v>
      </c>
      <c r="G45" s="676">
        <v>600</v>
      </c>
      <c r="H45" s="677">
        <v>600</v>
      </c>
      <c r="I45" s="677">
        <v>550</v>
      </c>
      <c r="J45" s="677">
        <v>550</v>
      </c>
    </row>
    <row r="46" spans="1:10" ht="17.25" customHeight="1">
      <c r="A46" s="643" t="s">
        <v>19</v>
      </c>
      <c r="B46" s="667"/>
      <c r="C46" s="649"/>
      <c r="D46" s="646" t="s">
        <v>1116</v>
      </c>
      <c r="E46" s="647" t="e">
        <f>SUM(E47:E50,#REF!)</f>
        <v>#REF!</v>
      </c>
      <c r="F46" s="647" t="e">
        <f>SUM(F47+F48+F50+#REF!+F51+#REF!+F52+F53+F54+#REF!)</f>
        <v>#REF!</v>
      </c>
      <c r="G46" s="647" t="e">
        <f>SUM(G47+G48+G50+#REF!+G51+#REF!+G52+G53+G54+#REF!+G55+G60+G61+G91+G92)</f>
        <v>#REF!</v>
      </c>
      <c r="H46" s="647" t="e">
        <f>SUM(H47+H48+H50+#REF!+H51+#REF!+H52+H53+H54+#REF!+H55+H60+H61+H91+H92+H93)</f>
        <v>#REF!</v>
      </c>
      <c r="I46" s="647">
        <f>SUM(I49+I47+I48+I50+I51+I52+I53+I54+I55+I61+I72+I90+I91+I92+I93+I94+I95+I96+I97+I98+I99+I100+I101+I102+I60+I103+I105)+I104</f>
        <v>138255</v>
      </c>
      <c r="J46" s="647">
        <f>SUM(J49+J47+J48+J50+J51+J52+J53+J54+J55+J61+J72+J90+J91+J92+J93+J94+J95+J96+J97+J98+J99+J100+J101+J102+J60+J103+J105)+J104+J106+J107+J108+J109+J110+J111</f>
        <v>43868</v>
      </c>
    </row>
    <row r="47" spans="1:10" ht="17.25" customHeight="1">
      <c r="A47" s="643"/>
      <c r="B47" s="648" t="s">
        <v>1036</v>
      </c>
      <c r="C47" s="665"/>
      <c r="D47" s="650" t="s">
        <v>1117</v>
      </c>
      <c r="E47" s="651">
        <v>1000</v>
      </c>
      <c r="F47" s="651">
        <v>1000</v>
      </c>
      <c r="G47" s="651">
        <v>1000</v>
      </c>
      <c r="H47" s="671">
        <v>1400</v>
      </c>
      <c r="I47" s="671">
        <v>1400</v>
      </c>
      <c r="J47" s="671">
        <v>261</v>
      </c>
    </row>
    <row r="48" spans="1:10" ht="17.25" customHeight="1">
      <c r="A48" s="643"/>
      <c r="B48" s="648" t="s">
        <v>809</v>
      </c>
      <c r="C48" s="665"/>
      <c r="D48" s="650" t="s">
        <v>1118</v>
      </c>
      <c r="E48" s="651">
        <v>3500</v>
      </c>
      <c r="F48" s="651">
        <v>3500</v>
      </c>
      <c r="G48" s="651">
        <v>3500</v>
      </c>
      <c r="H48" s="671">
        <v>3500</v>
      </c>
      <c r="I48" s="671">
        <v>2800</v>
      </c>
      <c r="J48" s="671"/>
    </row>
    <row r="49" spans="1:10" ht="17.25" customHeight="1">
      <c r="A49" s="643"/>
      <c r="B49" s="648" t="s">
        <v>1038</v>
      </c>
      <c r="C49" s="665"/>
      <c r="D49" s="650" t="s">
        <v>1119</v>
      </c>
      <c r="E49" s="676"/>
      <c r="F49" s="676"/>
      <c r="G49" s="676"/>
      <c r="H49" s="677"/>
      <c r="I49" s="671">
        <v>1500</v>
      </c>
      <c r="J49" s="671"/>
    </row>
    <row r="50" spans="1:10" ht="17.25" customHeight="1">
      <c r="A50" s="643"/>
      <c r="B50" s="648" t="s">
        <v>1040</v>
      </c>
      <c r="C50" s="665"/>
      <c r="D50" s="650" t="s">
        <v>1120</v>
      </c>
      <c r="E50" s="651">
        <v>550</v>
      </c>
      <c r="F50" s="651">
        <v>550</v>
      </c>
      <c r="G50" s="651">
        <v>550</v>
      </c>
      <c r="H50" s="671">
        <v>600</v>
      </c>
      <c r="I50" s="671">
        <v>480</v>
      </c>
      <c r="J50" s="671">
        <v>0</v>
      </c>
    </row>
    <row r="51" spans="1:10" ht="17.25" customHeight="1">
      <c r="A51" s="643"/>
      <c r="B51" s="648" t="s">
        <v>1042</v>
      </c>
      <c r="C51" s="665"/>
      <c r="D51" s="370" t="s">
        <v>1121</v>
      </c>
      <c r="E51" s="651">
        <v>800</v>
      </c>
      <c r="F51" s="680">
        <v>800</v>
      </c>
      <c r="G51" s="680">
        <v>800</v>
      </c>
      <c r="H51" s="681">
        <v>800</v>
      </c>
      <c r="I51" s="681">
        <v>800</v>
      </c>
      <c r="J51" s="681">
        <v>500</v>
      </c>
    </row>
    <row r="52" spans="1:10" ht="17.25" customHeight="1">
      <c r="A52" s="643"/>
      <c r="B52" s="648" t="s">
        <v>1043</v>
      </c>
      <c r="C52" s="665"/>
      <c r="D52" s="650" t="s">
        <v>1123</v>
      </c>
      <c r="E52" s="651"/>
      <c r="F52" s="680">
        <v>30000</v>
      </c>
      <c r="G52" s="680">
        <v>30000</v>
      </c>
      <c r="H52" s="681">
        <v>0</v>
      </c>
      <c r="I52" s="681">
        <v>0</v>
      </c>
      <c r="J52" s="681">
        <v>0</v>
      </c>
    </row>
    <row r="53" spans="1:10" ht="30">
      <c r="A53" s="823"/>
      <c r="B53" s="648" t="s">
        <v>1122</v>
      </c>
      <c r="C53" s="824"/>
      <c r="D53" s="822" t="s">
        <v>1125</v>
      </c>
      <c r="E53" s="801"/>
      <c r="F53" s="803">
        <v>5000</v>
      </c>
      <c r="G53" s="803">
        <v>5000</v>
      </c>
      <c r="H53" s="804">
        <v>2000</v>
      </c>
      <c r="I53" s="804">
        <v>2000</v>
      </c>
      <c r="J53" s="804">
        <v>6855</v>
      </c>
    </row>
    <row r="54" spans="1:10" ht="17.25" customHeight="1">
      <c r="A54" s="643"/>
      <c r="B54" s="648" t="s">
        <v>1124</v>
      </c>
      <c r="C54" s="665"/>
      <c r="D54" s="650" t="s">
        <v>1127</v>
      </c>
      <c r="E54" s="651"/>
      <c r="F54" s="680">
        <v>1000</v>
      </c>
      <c r="G54" s="680">
        <v>1000</v>
      </c>
      <c r="H54" s="681">
        <v>1000</v>
      </c>
      <c r="I54" s="681">
        <v>500</v>
      </c>
      <c r="J54" s="681">
        <v>500</v>
      </c>
    </row>
    <row r="55" spans="1:10" ht="17.25" customHeight="1">
      <c r="A55" s="643"/>
      <c r="B55" s="648" t="s">
        <v>1126</v>
      </c>
      <c r="C55" s="682"/>
      <c r="D55" s="650" t="s">
        <v>1129</v>
      </c>
      <c r="E55" s="651"/>
      <c r="F55" s="683"/>
      <c r="G55" s="680">
        <f>SUM(G56:G59)</f>
        <v>14000</v>
      </c>
      <c r="H55" s="680">
        <f>SUM(H56:H59)</f>
        <v>10000</v>
      </c>
      <c r="I55" s="680">
        <f>SUM(I56:I59)</f>
        <v>4000</v>
      </c>
      <c r="J55" s="680">
        <f>SUM(J56:J59)</f>
        <v>3939</v>
      </c>
    </row>
    <row r="56" spans="1:10" ht="17.25" customHeight="1">
      <c r="A56" s="674"/>
      <c r="B56" s="684" t="s">
        <v>1311</v>
      </c>
      <c r="C56" s="675"/>
      <c r="D56" s="685" t="s">
        <v>1130</v>
      </c>
      <c r="E56" s="676"/>
      <c r="F56" s="686"/>
      <c r="G56" s="687">
        <v>4000</v>
      </c>
      <c r="H56" s="688">
        <v>0</v>
      </c>
      <c r="I56" s="688"/>
      <c r="J56" s="688"/>
    </row>
    <row r="57" spans="1:10" ht="17.25" customHeight="1">
      <c r="A57" s="674"/>
      <c r="B57" s="684" t="s">
        <v>1312</v>
      </c>
      <c r="C57" s="675"/>
      <c r="D57" s="685" t="s">
        <v>1131</v>
      </c>
      <c r="E57" s="676"/>
      <c r="F57" s="686"/>
      <c r="G57" s="687">
        <v>4000</v>
      </c>
      <c r="H57" s="688">
        <v>4000</v>
      </c>
      <c r="I57" s="688">
        <v>2000</v>
      </c>
      <c r="J57" s="688">
        <v>0</v>
      </c>
    </row>
    <row r="58" spans="1:10" ht="17.25" customHeight="1">
      <c r="A58" s="674"/>
      <c r="B58" s="684" t="s">
        <v>1313</v>
      </c>
      <c r="C58" s="1240"/>
      <c r="D58" s="685" t="s">
        <v>1132</v>
      </c>
      <c r="E58" s="676"/>
      <c r="F58" s="686"/>
      <c r="G58" s="687">
        <v>3000</v>
      </c>
      <c r="H58" s="688">
        <v>3000</v>
      </c>
      <c r="I58" s="688">
        <v>2000</v>
      </c>
      <c r="J58" s="688">
        <v>3740</v>
      </c>
    </row>
    <row r="59" spans="1:10" ht="17.25" customHeight="1">
      <c r="A59" s="674"/>
      <c r="B59" s="684" t="s">
        <v>1928</v>
      </c>
      <c r="C59" s="675"/>
      <c r="D59" s="685" t="s">
        <v>1929</v>
      </c>
      <c r="E59" s="676"/>
      <c r="F59" s="686"/>
      <c r="G59" s="687">
        <v>3000</v>
      </c>
      <c r="H59" s="688">
        <v>3000</v>
      </c>
      <c r="I59" s="688">
        <v>0</v>
      </c>
      <c r="J59" s="688">
        <v>199</v>
      </c>
    </row>
    <row r="60" spans="1:10" ht="17.25" customHeight="1">
      <c r="A60" s="643"/>
      <c r="B60" s="689" t="s">
        <v>1314</v>
      </c>
      <c r="C60" s="689"/>
      <c r="D60" s="650" t="s">
        <v>1135</v>
      </c>
      <c r="E60" s="651"/>
      <c r="F60" s="683"/>
      <c r="G60" s="680">
        <v>1000</v>
      </c>
      <c r="H60" s="681">
        <v>1000</v>
      </c>
      <c r="I60" s="681">
        <v>1000</v>
      </c>
      <c r="J60" s="681">
        <v>728</v>
      </c>
    </row>
    <row r="61" spans="1:10" ht="19.5" customHeight="1">
      <c r="A61" s="690"/>
      <c r="B61" s="689" t="s">
        <v>1128</v>
      </c>
      <c r="C61" s="689"/>
      <c r="D61" s="650" t="s">
        <v>1137</v>
      </c>
      <c r="E61" s="651"/>
      <c r="F61" s="683"/>
      <c r="G61" s="680" t="e">
        <f>SUM(#REF!+#REF!+#REF!,#REF!,G73)</f>
        <v>#REF!</v>
      </c>
      <c r="H61" s="680" t="e">
        <f>SUM(#REF!,#REF!,H73,#REF!)</f>
        <v>#REF!</v>
      </c>
      <c r="I61" s="680">
        <f>SUM(I62:I71)</f>
        <v>3470</v>
      </c>
      <c r="J61" s="680">
        <f>SUM(J62:J71)</f>
        <v>263</v>
      </c>
    </row>
    <row r="62" spans="1:10" ht="17.25" customHeight="1">
      <c r="A62" s="643"/>
      <c r="B62" s="684" t="s">
        <v>1315</v>
      </c>
      <c r="C62" s="675"/>
      <c r="D62" s="800" t="s">
        <v>1138</v>
      </c>
      <c r="E62" s="801"/>
      <c r="F62" s="802"/>
      <c r="G62" s="803">
        <v>260</v>
      </c>
      <c r="H62" s="804">
        <v>350</v>
      </c>
      <c r="I62" s="804">
        <v>400</v>
      </c>
      <c r="J62" s="681">
        <v>17</v>
      </c>
    </row>
    <row r="63" spans="1:10" ht="28.5" customHeight="1">
      <c r="A63" s="643"/>
      <c r="B63" s="684" t="s">
        <v>1316</v>
      </c>
      <c r="C63" s="675"/>
      <c r="D63" s="805">
        <v>38791</v>
      </c>
      <c r="E63" s="801"/>
      <c r="F63" s="802"/>
      <c r="G63" s="803">
        <v>300</v>
      </c>
      <c r="H63" s="804">
        <v>320</v>
      </c>
      <c r="I63" s="804">
        <v>300</v>
      </c>
      <c r="J63" s="681">
        <v>7</v>
      </c>
    </row>
    <row r="64" spans="1:10" ht="17.25" customHeight="1">
      <c r="A64" s="643"/>
      <c r="B64" s="684" t="s">
        <v>1317</v>
      </c>
      <c r="C64" s="675"/>
      <c r="D64" s="800" t="s">
        <v>1139</v>
      </c>
      <c r="E64" s="801"/>
      <c r="F64" s="802"/>
      <c r="G64" s="803">
        <v>690</v>
      </c>
      <c r="H64" s="804">
        <v>900</v>
      </c>
      <c r="I64" s="804">
        <v>1000</v>
      </c>
      <c r="J64" s="681">
        <v>138</v>
      </c>
    </row>
    <row r="65" spans="1:10" ht="17.25" customHeight="1">
      <c r="A65" s="643"/>
      <c r="B65" s="684" t="s">
        <v>1318</v>
      </c>
      <c r="C65" s="675"/>
      <c r="D65" s="800" t="s">
        <v>1140</v>
      </c>
      <c r="E65" s="801"/>
      <c r="F65" s="802"/>
      <c r="G65" s="803">
        <v>570</v>
      </c>
      <c r="H65" s="804">
        <v>600</v>
      </c>
      <c r="I65" s="804">
        <v>310</v>
      </c>
      <c r="J65" s="681">
        <v>30</v>
      </c>
    </row>
    <row r="66" spans="1:10" s="303" customFormat="1" ht="17.25" customHeight="1">
      <c r="A66" s="643"/>
      <c r="B66" s="684" t="s">
        <v>1319</v>
      </c>
      <c r="C66" s="675"/>
      <c r="D66" s="806" t="s">
        <v>1141</v>
      </c>
      <c r="E66" s="801"/>
      <c r="F66" s="802"/>
      <c r="G66" s="803">
        <v>520</v>
      </c>
      <c r="H66" s="804">
        <v>520</v>
      </c>
      <c r="I66" s="804">
        <v>350</v>
      </c>
      <c r="J66" s="681">
        <v>14</v>
      </c>
    </row>
    <row r="67" spans="1:10" s="295" customFormat="1" ht="17.25" customHeight="1">
      <c r="A67" s="643"/>
      <c r="B67" s="684" t="s">
        <v>1320</v>
      </c>
      <c r="C67" s="675"/>
      <c r="D67" s="806" t="s">
        <v>1142</v>
      </c>
      <c r="E67" s="801"/>
      <c r="F67" s="802"/>
      <c r="G67" s="803">
        <v>190</v>
      </c>
      <c r="H67" s="804">
        <v>200</v>
      </c>
      <c r="I67" s="804">
        <v>220</v>
      </c>
      <c r="J67" s="681">
        <v>0</v>
      </c>
    </row>
    <row r="68" spans="1:10" s="295" customFormat="1" ht="17.25" customHeight="1">
      <c r="A68" s="643"/>
      <c r="B68" s="684" t="s">
        <v>1321</v>
      </c>
      <c r="C68" s="675"/>
      <c r="D68" s="806" t="s">
        <v>1143</v>
      </c>
      <c r="E68" s="801"/>
      <c r="F68" s="802"/>
      <c r="G68" s="803">
        <v>370</v>
      </c>
      <c r="H68" s="804">
        <v>370</v>
      </c>
      <c r="I68" s="804">
        <v>400</v>
      </c>
      <c r="J68" s="681">
        <v>3</v>
      </c>
    </row>
    <row r="69" spans="1:10" s="295" customFormat="1" ht="17.25" customHeight="1">
      <c r="A69" s="643"/>
      <c r="B69" s="684" t="s">
        <v>1322</v>
      </c>
      <c r="C69" s="675"/>
      <c r="D69" s="806" t="s">
        <v>1262</v>
      </c>
      <c r="E69" s="801"/>
      <c r="F69" s="802"/>
      <c r="G69" s="803"/>
      <c r="H69" s="804"/>
      <c r="I69" s="804">
        <v>0</v>
      </c>
      <c r="J69" s="681">
        <v>0</v>
      </c>
    </row>
    <row r="70" spans="1:10" s="295" customFormat="1" ht="17.25" customHeight="1">
      <c r="A70" s="643"/>
      <c r="B70" s="684" t="s">
        <v>1323</v>
      </c>
      <c r="C70" s="675"/>
      <c r="D70" s="806" t="s">
        <v>1287</v>
      </c>
      <c r="E70" s="801"/>
      <c r="F70" s="802"/>
      <c r="G70" s="803"/>
      <c r="H70" s="804"/>
      <c r="I70" s="804">
        <v>350</v>
      </c>
      <c r="J70" s="681">
        <v>54</v>
      </c>
    </row>
    <row r="71" spans="1:10" s="295" customFormat="1" ht="17.25" customHeight="1">
      <c r="A71" s="643"/>
      <c r="B71" s="684" t="s">
        <v>1324</v>
      </c>
      <c r="C71" s="675"/>
      <c r="D71" s="806" t="s">
        <v>1288</v>
      </c>
      <c r="E71" s="801"/>
      <c r="F71" s="802"/>
      <c r="G71" s="803"/>
      <c r="H71" s="804"/>
      <c r="I71" s="804">
        <v>140</v>
      </c>
      <c r="J71" s="681">
        <v>0</v>
      </c>
    </row>
    <row r="72" spans="1:10" s="295" customFormat="1" ht="28.5" customHeight="1">
      <c r="A72" s="643"/>
      <c r="B72" s="689" t="s">
        <v>1133</v>
      </c>
      <c r="C72" s="675"/>
      <c r="D72" s="650" t="s">
        <v>1145</v>
      </c>
      <c r="E72" s="651"/>
      <c r="F72" s="683"/>
      <c r="G72" s="680"/>
      <c r="H72" s="681"/>
      <c r="I72" s="681">
        <f>SUM(I73:I89)</f>
        <v>20000</v>
      </c>
      <c r="J72" s="681">
        <f>SUM(J73:J89)</f>
        <v>0</v>
      </c>
    </row>
    <row r="73" spans="1:10" ht="15">
      <c r="A73" s="643"/>
      <c r="B73" s="691" t="s">
        <v>1325</v>
      </c>
      <c r="C73" s="692"/>
      <c r="D73" s="800" t="s">
        <v>1454</v>
      </c>
      <c r="E73" s="801"/>
      <c r="F73" s="802"/>
      <c r="G73" s="803">
        <v>1500</v>
      </c>
      <c r="H73" s="804">
        <v>2000</v>
      </c>
      <c r="I73" s="804">
        <v>500</v>
      </c>
      <c r="J73" s="681">
        <v>0</v>
      </c>
    </row>
    <row r="74" spans="1:10" ht="17.25" customHeight="1">
      <c r="A74" s="643"/>
      <c r="B74" s="691" t="s">
        <v>1326</v>
      </c>
      <c r="C74" s="692"/>
      <c r="D74" s="800" t="s">
        <v>1146</v>
      </c>
      <c r="E74" s="801"/>
      <c r="F74" s="802"/>
      <c r="G74" s="803"/>
      <c r="H74" s="804"/>
      <c r="I74" s="804">
        <v>2200</v>
      </c>
      <c r="J74" s="681">
        <v>0</v>
      </c>
    </row>
    <row r="75" spans="1:10" ht="17.25" customHeight="1">
      <c r="A75" s="643"/>
      <c r="B75" s="691" t="s">
        <v>1327</v>
      </c>
      <c r="C75" s="692"/>
      <c r="D75" s="800" t="s">
        <v>1147</v>
      </c>
      <c r="E75" s="801"/>
      <c r="F75" s="802"/>
      <c r="G75" s="803"/>
      <c r="H75" s="804"/>
      <c r="I75" s="804">
        <v>50</v>
      </c>
      <c r="J75" s="681">
        <v>0</v>
      </c>
    </row>
    <row r="76" spans="1:10" ht="17.25" customHeight="1">
      <c r="A76" s="643"/>
      <c r="B76" s="691" t="s">
        <v>1328</v>
      </c>
      <c r="C76" s="692"/>
      <c r="D76" s="800" t="s">
        <v>1296</v>
      </c>
      <c r="E76" s="801"/>
      <c r="F76" s="802"/>
      <c r="G76" s="803"/>
      <c r="H76" s="804"/>
      <c r="I76" s="804">
        <v>100</v>
      </c>
      <c r="J76" s="681">
        <v>0</v>
      </c>
    </row>
    <row r="77" spans="1:10" ht="17.25" customHeight="1">
      <c r="A77" s="643"/>
      <c r="B77" s="691" t="s">
        <v>1329</v>
      </c>
      <c r="C77" s="692"/>
      <c r="D77" s="800" t="s">
        <v>1297</v>
      </c>
      <c r="E77" s="801"/>
      <c r="F77" s="802"/>
      <c r="G77" s="803"/>
      <c r="H77" s="804"/>
      <c r="I77" s="804">
        <v>100</v>
      </c>
      <c r="J77" s="681">
        <v>0</v>
      </c>
    </row>
    <row r="78" spans="1:10" ht="17.25" customHeight="1">
      <c r="A78" s="643"/>
      <c r="B78" s="691" t="s">
        <v>1330</v>
      </c>
      <c r="C78" s="692"/>
      <c r="D78" s="800" t="s">
        <v>1298</v>
      </c>
      <c r="E78" s="801"/>
      <c r="F78" s="802"/>
      <c r="G78" s="803"/>
      <c r="H78" s="804"/>
      <c r="I78" s="804">
        <v>100</v>
      </c>
      <c r="J78" s="681">
        <v>0</v>
      </c>
    </row>
    <row r="79" spans="1:10" ht="17.25" customHeight="1">
      <c r="A79" s="643"/>
      <c r="B79" s="691" t="s">
        <v>1331</v>
      </c>
      <c r="C79" s="692"/>
      <c r="D79" s="800" t="s">
        <v>1299</v>
      </c>
      <c r="E79" s="801"/>
      <c r="F79" s="802"/>
      <c r="G79" s="803"/>
      <c r="H79" s="804"/>
      <c r="I79" s="804">
        <v>200</v>
      </c>
      <c r="J79" s="681">
        <v>0</v>
      </c>
    </row>
    <row r="80" spans="1:10" ht="17.25" customHeight="1">
      <c r="A80" s="643"/>
      <c r="B80" s="691" t="s">
        <v>1332</v>
      </c>
      <c r="C80" s="692"/>
      <c r="D80" s="800" t="s">
        <v>1300</v>
      </c>
      <c r="E80" s="801"/>
      <c r="F80" s="802"/>
      <c r="G80" s="803"/>
      <c r="H80" s="804"/>
      <c r="I80" s="804">
        <v>500</v>
      </c>
      <c r="J80" s="681">
        <v>0</v>
      </c>
    </row>
    <row r="81" spans="1:10" ht="17.25" customHeight="1">
      <c r="A81" s="643"/>
      <c r="B81" s="691" t="s">
        <v>1333</v>
      </c>
      <c r="C81" s="692"/>
      <c r="D81" s="800" t="s">
        <v>1301</v>
      </c>
      <c r="E81" s="801"/>
      <c r="F81" s="802"/>
      <c r="G81" s="803"/>
      <c r="H81" s="804"/>
      <c r="I81" s="804">
        <v>4000</v>
      </c>
      <c r="J81" s="681">
        <v>0</v>
      </c>
    </row>
    <row r="82" spans="1:10" ht="17.25" customHeight="1">
      <c r="A82" s="643"/>
      <c r="B82" s="691" t="s">
        <v>1334</v>
      </c>
      <c r="C82" s="692"/>
      <c r="D82" s="800" t="s">
        <v>1302</v>
      </c>
      <c r="E82" s="801"/>
      <c r="F82" s="802"/>
      <c r="G82" s="803"/>
      <c r="H82" s="804"/>
      <c r="I82" s="804">
        <v>1200</v>
      </c>
      <c r="J82" s="681">
        <v>0</v>
      </c>
    </row>
    <row r="83" spans="1:10" ht="17.25" customHeight="1">
      <c r="A83" s="643"/>
      <c r="B83" s="691" t="s">
        <v>1335</v>
      </c>
      <c r="C83" s="692"/>
      <c r="D83" s="800" t="s">
        <v>1303</v>
      </c>
      <c r="E83" s="801"/>
      <c r="F83" s="802"/>
      <c r="G83" s="803"/>
      <c r="H83" s="804"/>
      <c r="I83" s="804">
        <v>2000</v>
      </c>
      <c r="J83" s="681">
        <v>0</v>
      </c>
    </row>
    <row r="84" spans="1:10" ht="17.25" customHeight="1">
      <c r="A84" s="643"/>
      <c r="B84" s="691" t="s">
        <v>1336</v>
      </c>
      <c r="C84" s="692"/>
      <c r="D84" s="800" t="s">
        <v>1148</v>
      </c>
      <c r="E84" s="801"/>
      <c r="F84" s="802"/>
      <c r="G84" s="803"/>
      <c r="H84" s="804"/>
      <c r="I84" s="804">
        <v>1000</v>
      </c>
      <c r="J84" s="681">
        <v>0</v>
      </c>
    </row>
    <row r="85" spans="1:10" ht="17.25" customHeight="1">
      <c r="A85" s="643"/>
      <c r="B85" s="691" t="s">
        <v>1337</v>
      </c>
      <c r="C85" s="692"/>
      <c r="D85" s="800" t="s">
        <v>1304</v>
      </c>
      <c r="E85" s="801"/>
      <c r="F85" s="802"/>
      <c r="G85" s="803"/>
      <c r="H85" s="804"/>
      <c r="I85" s="804">
        <v>500</v>
      </c>
      <c r="J85" s="681">
        <v>0</v>
      </c>
    </row>
    <row r="86" spans="1:10" ht="17.25" customHeight="1">
      <c r="A86" s="643"/>
      <c r="B86" s="691" t="s">
        <v>1338</v>
      </c>
      <c r="C86" s="692"/>
      <c r="D86" s="800" t="s">
        <v>1305</v>
      </c>
      <c r="E86" s="801"/>
      <c r="F86" s="802"/>
      <c r="G86" s="803"/>
      <c r="H86" s="804"/>
      <c r="I86" s="804">
        <v>1000</v>
      </c>
      <c r="J86" s="681">
        <v>0</v>
      </c>
    </row>
    <row r="87" spans="1:10" ht="21.75" customHeight="1">
      <c r="A87" s="643"/>
      <c r="B87" s="691" t="s">
        <v>1339</v>
      </c>
      <c r="C87" s="692"/>
      <c r="D87" s="800" t="s">
        <v>1149</v>
      </c>
      <c r="E87" s="801"/>
      <c r="F87" s="802"/>
      <c r="G87" s="803"/>
      <c r="H87" s="804"/>
      <c r="I87" s="804">
        <v>1000</v>
      </c>
      <c r="J87" s="681">
        <v>0</v>
      </c>
    </row>
    <row r="88" spans="1:10" ht="17.25" customHeight="1">
      <c r="A88" s="643"/>
      <c r="B88" s="691" t="s">
        <v>1340</v>
      </c>
      <c r="C88" s="692"/>
      <c r="D88" s="800" t="s">
        <v>1306</v>
      </c>
      <c r="E88" s="801"/>
      <c r="F88" s="802"/>
      <c r="G88" s="803"/>
      <c r="H88" s="804"/>
      <c r="I88" s="804">
        <v>1550</v>
      </c>
      <c r="J88" s="681">
        <v>0</v>
      </c>
    </row>
    <row r="89" spans="1:10" ht="17.25" customHeight="1">
      <c r="A89" s="643"/>
      <c r="B89" s="691" t="s">
        <v>1341</v>
      </c>
      <c r="C89" s="692"/>
      <c r="D89" s="800" t="s">
        <v>1307</v>
      </c>
      <c r="E89" s="801"/>
      <c r="F89" s="802"/>
      <c r="G89" s="803"/>
      <c r="H89" s="804"/>
      <c r="I89" s="804">
        <v>4000</v>
      </c>
      <c r="J89" s="681">
        <v>0</v>
      </c>
    </row>
    <row r="90" spans="1:10" ht="17.25" customHeight="1">
      <c r="A90" s="643"/>
      <c r="B90" s="1977" t="s">
        <v>1134</v>
      </c>
      <c r="C90" s="1977"/>
      <c r="D90" s="650" t="s">
        <v>1151</v>
      </c>
      <c r="E90" s="651"/>
      <c r="F90" s="683"/>
      <c r="G90" s="680"/>
      <c r="H90" s="681"/>
      <c r="I90" s="681">
        <v>1000</v>
      </c>
      <c r="J90" s="681">
        <v>2208</v>
      </c>
    </row>
    <row r="91" spans="1:10" ht="17.25" customHeight="1">
      <c r="A91" s="643"/>
      <c r="B91" s="1977" t="s">
        <v>1136</v>
      </c>
      <c r="C91" s="1977"/>
      <c r="D91" s="650" t="s">
        <v>1154</v>
      </c>
      <c r="E91" s="651"/>
      <c r="F91" s="683"/>
      <c r="G91" s="680">
        <v>1500</v>
      </c>
      <c r="H91" s="681">
        <v>1700</v>
      </c>
      <c r="I91" s="804">
        <v>1000</v>
      </c>
      <c r="J91" s="681">
        <v>340</v>
      </c>
    </row>
    <row r="92" spans="1:10" ht="17.25" customHeight="1">
      <c r="A92" s="643"/>
      <c r="B92" s="1977" t="s">
        <v>1144</v>
      </c>
      <c r="C92" s="1977"/>
      <c r="D92" s="650" t="s">
        <v>1156</v>
      </c>
      <c r="E92" s="651"/>
      <c r="F92" s="680"/>
      <c r="G92" s="680">
        <v>1000</v>
      </c>
      <c r="H92" s="681">
        <v>1000</v>
      </c>
      <c r="I92" s="681">
        <v>1500</v>
      </c>
      <c r="J92" s="681">
        <v>2230</v>
      </c>
    </row>
    <row r="93" spans="1:10" ht="17.25" customHeight="1">
      <c r="A93" s="643"/>
      <c r="B93" s="1977" t="s">
        <v>1150</v>
      </c>
      <c r="C93" s="1977"/>
      <c r="D93" s="650" t="s">
        <v>1157</v>
      </c>
      <c r="E93" s="651"/>
      <c r="F93" s="680"/>
      <c r="G93" s="683"/>
      <c r="H93" s="681">
        <v>0</v>
      </c>
      <c r="I93" s="681">
        <v>500</v>
      </c>
      <c r="J93" s="681">
        <v>184</v>
      </c>
    </row>
    <row r="94" spans="1:10" ht="30" customHeight="1">
      <c r="A94" s="693"/>
      <c r="B94" s="1977" t="s">
        <v>1152</v>
      </c>
      <c r="C94" s="1977"/>
      <c r="D94" s="817" t="s">
        <v>1160</v>
      </c>
      <c r="E94" s="818"/>
      <c r="F94" s="819"/>
      <c r="G94" s="819"/>
      <c r="H94" s="820"/>
      <c r="I94" s="821">
        <v>525</v>
      </c>
      <c r="J94" s="694">
        <v>525</v>
      </c>
    </row>
    <row r="95" spans="1:10" ht="30" customHeight="1">
      <c r="A95" s="643"/>
      <c r="B95" s="1977" t="s">
        <v>1153</v>
      </c>
      <c r="C95" s="1977"/>
      <c r="D95" s="822" t="s">
        <v>1162</v>
      </c>
      <c r="E95" s="801"/>
      <c r="F95" s="803"/>
      <c r="G95" s="803"/>
      <c r="H95" s="802"/>
      <c r="I95" s="804">
        <v>48000</v>
      </c>
      <c r="J95" s="681">
        <v>8890</v>
      </c>
    </row>
    <row r="96" spans="1:10" ht="17.25" customHeight="1">
      <c r="A96" s="695"/>
      <c r="B96" s="1977" t="s">
        <v>1155</v>
      </c>
      <c r="C96" s="1977"/>
      <c r="D96" s="696" t="s">
        <v>1165</v>
      </c>
      <c r="E96" s="697"/>
      <c r="F96" s="698"/>
      <c r="G96" s="698"/>
      <c r="H96" s="697"/>
      <c r="I96" s="697">
        <v>1000</v>
      </c>
      <c r="J96" s="697">
        <v>413</v>
      </c>
    </row>
    <row r="97" spans="1:10" ht="17.25" customHeight="1">
      <c r="A97" s="695"/>
      <c r="B97" s="1977" t="s">
        <v>1342</v>
      </c>
      <c r="C97" s="1977"/>
      <c r="D97" s="807" t="s">
        <v>1169</v>
      </c>
      <c r="E97" s="808"/>
      <c r="F97" s="809"/>
      <c r="G97" s="809"/>
      <c r="H97" s="808"/>
      <c r="I97" s="808">
        <v>5000</v>
      </c>
      <c r="J97" s="697">
        <v>3332</v>
      </c>
    </row>
    <row r="98" spans="1:10" ht="17.25" customHeight="1">
      <c r="A98" s="695"/>
      <c r="B98" s="1977" t="s">
        <v>1158</v>
      </c>
      <c r="C98" s="1977"/>
      <c r="D98" s="807" t="s">
        <v>1170</v>
      </c>
      <c r="E98" s="808"/>
      <c r="F98" s="809"/>
      <c r="G98" s="809"/>
      <c r="H98" s="808"/>
      <c r="I98" s="808">
        <v>3000</v>
      </c>
      <c r="J98" s="697">
        <v>0</v>
      </c>
    </row>
    <row r="99" spans="1:10" ht="17.25" customHeight="1">
      <c r="A99" s="695"/>
      <c r="B99" s="1977" t="s">
        <v>1159</v>
      </c>
      <c r="C99" s="1977"/>
      <c r="D99" s="807" t="s">
        <v>1726</v>
      </c>
      <c r="E99" s="808"/>
      <c r="F99" s="809"/>
      <c r="G99" s="809"/>
      <c r="H99" s="808"/>
      <c r="I99" s="808"/>
      <c r="J99" s="697">
        <v>927</v>
      </c>
    </row>
    <row r="100" spans="1:10" ht="17.25" customHeight="1">
      <c r="A100" s="695"/>
      <c r="B100" s="1977" t="s">
        <v>1161</v>
      </c>
      <c r="C100" s="1977"/>
      <c r="D100" s="807" t="s">
        <v>1171</v>
      </c>
      <c r="E100" s="808"/>
      <c r="F100" s="809"/>
      <c r="G100" s="809"/>
      <c r="H100" s="808"/>
      <c r="I100" s="808">
        <v>5000</v>
      </c>
      <c r="J100" s="697">
        <v>0</v>
      </c>
    </row>
    <row r="101" spans="1:10" ht="17.25" customHeight="1">
      <c r="A101" s="695"/>
      <c r="B101" s="1977" t="s">
        <v>1163</v>
      </c>
      <c r="C101" s="1977"/>
      <c r="D101" s="696" t="s">
        <v>1264</v>
      </c>
      <c r="E101" s="697"/>
      <c r="F101" s="698"/>
      <c r="G101" s="698"/>
      <c r="H101" s="697"/>
      <c r="I101" s="697">
        <v>1000</v>
      </c>
      <c r="J101" s="697">
        <v>0</v>
      </c>
    </row>
    <row r="102" spans="1:10" s="703" customFormat="1" ht="17.25" customHeight="1">
      <c r="A102" s="699"/>
      <c r="B102" s="1977" t="s">
        <v>1164</v>
      </c>
      <c r="C102" s="1977"/>
      <c r="D102" s="700" t="s">
        <v>1843</v>
      </c>
      <c r="E102" s="701"/>
      <c r="F102" s="702"/>
      <c r="G102" s="702"/>
      <c r="H102" s="701"/>
      <c r="I102" s="701"/>
      <c r="J102" s="701">
        <v>1000</v>
      </c>
    </row>
    <row r="103" spans="1:10" s="703" customFormat="1" ht="17.25" hidden="1" customHeight="1">
      <c r="A103" s="699"/>
      <c r="B103" s="1977" t="s">
        <v>1166</v>
      </c>
      <c r="C103" s="1977"/>
      <c r="D103" s="814"/>
      <c r="E103" s="815"/>
      <c r="F103" s="816"/>
      <c r="G103" s="816"/>
      <c r="H103" s="815"/>
      <c r="I103" s="815">
        <v>0</v>
      </c>
      <c r="J103" s="785"/>
    </row>
    <row r="104" spans="1:10" s="703" customFormat="1" ht="17.25" customHeight="1">
      <c r="A104" s="699"/>
      <c r="B104" s="1977" t="s">
        <v>1167</v>
      </c>
      <c r="C104" s="1977"/>
      <c r="D104" s="700" t="s">
        <v>1266</v>
      </c>
      <c r="E104" s="701"/>
      <c r="F104" s="702"/>
      <c r="G104" s="702"/>
      <c r="H104" s="701"/>
      <c r="I104" s="701">
        <v>2780</v>
      </c>
      <c r="J104" s="701">
        <v>366</v>
      </c>
    </row>
    <row r="105" spans="1:10" s="703" customFormat="1" ht="15">
      <c r="A105" s="699"/>
      <c r="B105" s="1977" t="s">
        <v>1168</v>
      </c>
      <c r="C105" s="1977"/>
      <c r="D105" s="700" t="s">
        <v>1273</v>
      </c>
      <c r="E105" s="701"/>
      <c r="F105" s="702"/>
      <c r="G105" s="702"/>
      <c r="H105" s="701"/>
      <c r="I105" s="701">
        <v>30000</v>
      </c>
      <c r="J105" s="701">
        <v>0</v>
      </c>
    </row>
    <row r="106" spans="1:10" s="703" customFormat="1" ht="17.25" customHeight="1">
      <c r="A106" s="699"/>
      <c r="B106" s="1977" t="s">
        <v>1727</v>
      </c>
      <c r="C106" s="1977"/>
      <c r="D106" s="700" t="s">
        <v>1728</v>
      </c>
      <c r="E106" s="701"/>
      <c r="F106" s="702"/>
      <c r="G106" s="702"/>
      <c r="H106" s="701"/>
      <c r="I106" s="701"/>
      <c r="J106" s="701">
        <v>0</v>
      </c>
    </row>
    <row r="107" spans="1:10" s="703" customFormat="1" ht="17.25" customHeight="1">
      <c r="A107" s="699"/>
      <c r="B107" s="1977" t="s">
        <v>1729</v>
      </c>
      <c r="C107" s="1977"/>
      <c r="D107" s="700" t="s">
        <v>1733</v>
      </c>
      <c r="E107" s="701"/>
      <c r="F107" s="702"/>
      <c r="G107" s="702"/>
      <c r="H107" s="701"/>
      <c r="I107" s="701"/>
      <c r="J107" s="701">
        <v>2310</v>
      </c>
    </row>
    <row r="108" spans="1:10" s="703" customFormat="1" ht="17.25" customHeight="1">
      <c r="A108" s="699"/>
      <c r="B108" s="1977" t="s">
        <v>1730</v>
      </c>
      <c r="C108" s="1977"/>
      <c r="D108" s="700" t="s">
        <v>1734</v>
      </c>
      <c r="E108" s="701"/>
      <c r="F108" s="702"/>
      <c r="G108" s="702"/>
      <c r="H108" s="701"/>
      <c r="I108" s="701"/>
      <c r="J108" s="701">
        <v>4305</v>
      </c>
    </row>
    <row r="109" spans="1:10" s="703" customFormat="1" ht="17.25" customHeight="1">
      <c r="A109" s="699"/>
      <c r="B109" s="1977" t="s">
        <v>1731</v>
      </c>
      <c r="C109" s="1977"/>
      <c r="D109" s="700" t="s">
        <v>1930</v>
      </c>
      <c r="E109" s="701"/>
      <c r="F109" s="702"/>
      <c r="G109" s="702"/>
      <c r="H109" s="701"/>
      <c r="I109" s="701"/>
      <c r="J109" s="701">
        <v>242</v>
      </c>
    </row>
    <row r="110" spans="1:10" s="703" customFormat="1" ht="17.25" customHeight="1">
      <c r="A110" s="699"/>
      <c r="B110" s="1977" t="s">
        <v>1732</v>
      </c>
      <c r="C110" s="1977"/>
      <c r="D110" s="700" t="s">
        <v>1931</v>
      </c>
      <c r="E110" s="701"/>
      <c r="F110" s="702"/>
      <c r="G110" s="702"/>
      <c r="H110" s="701"/>
      <c r="I110" s="701"/>
      <c r="J110" s="701">
        <v>3500</v>
      </c>
    </row>
    <row r="111" spans="1:10" s="703" customFormat="1" ht="17.25" customHeight="1">
      <c r="A111" s="1236"/>
      <c r="B111" s="1977" t="s">
        <v>1920</v>
      </c>
      <c r="C111" s="1977"/>
      <c r="D111" s="1237" t="s">
        <v>1932</v>
      </c>
      <c r="E111" s="1238"/>
      <c r="F111" s="1239"/>
      <c r="G111" s="1239"/>
      <c r="H111" s="1238"/>
      <c r="I111" s="1238"/>
      <c r="J111" s="1238">
        <v>50</v>
      </c>
    </row>
    <row r="112" spans="1:10" ht="21" customHeight="1">
      <c r="A112" s="704"/>
      <c r="B112" s="705"/>
      <c r="C112" s="706"/>
      <c r="D112" s="707" t="s">
        <v>1172</v>
      </c>
      <c r="E112" s="708" t="e">
        <f t="shared" ref="E112:I112" si="1">SUM(E46+E28+E2)</f>
        <v>#REF!</v>
      </c>
      <c r="F112" s="708" t="e">
        <f t="shared" si="1"/>
        <v>#REF!</v>
      </c>
      <c r="G112" s="708" t="e">
        <f t="shared" si="1"/>
        <v>#REF!</v>
      </c>
      <c r="H112" s="708" t="e">
        <f t="shared" si="1"/>
        <v>#REF!</v>
      </c>
      <c r="I112" s="708">
        <f t="shared" si="1"/>
        <v>143605</v>
      </c>
      <c r="J112" s="708">
        <f>SUM(J46+J28+J2)</f>
        <v>83054</v>
      </c>
    </row>
    <row r="113" spans="1:10" ht="14.25">
      <c r="A113" s="299"/>
      <c r="B113" s="527"/>
      <c r="C113" s="527"/>
      <c r="D113" s="299"/>
      <c r="E113" s="709"/>
      <c r="F113" s="709"/>
    </row>
    <row r="114" spans="1:10" ht="14.25">
      <c r="A114" s="299"/>
      <c r="B114" s="527"/>
      <c r="C114" s="527"/>
      <c r="D114" s="299"/>
      <c r="E114" s="709"/>
      <c r="F114" s="709"/>
    </row>
    <row r="115" spans="1:10" ht="14.25">
      <c r="A115" s="299"/>
      <c r="B115" s="527"/>
      <c r="C115" s="527"/>
      <c r="D115" s="299"/>
      <c r="E115" s="709"/>
      <c r="F115" s="709"/>
    </row>
    <row r="116" spans="1:10" ht="14.25">
      <c r="A116" s="299"/>
      <c r="B116" s="299"/>
      <c r="C116" s="299"/>
      <c r="D116" s="299"/>
      <c r="E116" s="709"/>
      <c r="F116" s="709"/>
      <c r="G116" s="322" t="e">
        <f>SUM(G112+#REF!)</f>
        <v>#REF!</v>
      </c>
      <c r="H116" s="322"/>
      <c r="I116" s="322"/>
      <c r="J116" s="322"/>
    </row>
    <row r="117" spans="1:10" ht="14.25">
      <c r="A117" s="299"/>
      <c r="B117" s="299"/>
      <c r="C117" s="299"/>
      <c r="D117" s="299"/>
      <c r="E117" s="709"/>
      <c r="F117" s="709"/>
    </row>
    <row r="118" spans="1:10" ht="14.25">
      <c r="D118" s="299"/>
      <c r="E118" s="709"/>
      <c r="F118" s="709"/>
    </row>
    <row r="119" spans="1:10" ht="14.25">
      <c r="D119" s="299"/>
      <c r="E119" s="709"/>
      <c r="F119" s="709"/>
    </row>
    <row r="120" spans="1:10" ht="14.25">
      <c r="D120" s="299"/>
      <c r="E120" s="709"/>
      <c r="F120" s="709"/>
    </row>
    <row r="121" spans="1:10" ht="14.25">
      <c r="D121" s="299"/>
      <c r="E121" s="709"/>
      <c r="F121" s="709"/>
    </row>
    <row r="122" spans="1:10" ht="14.25">
      <c r="D122" s="299"/>
      <c r="E122" s="709"/>
      <c r="F122" s="709"/>
    </row>
    <row r="123" spans="1:10" ht="14.25">
      <c r="D123" s="299"/>
      <c r="E123" s="709"/>
      <c r="F123" s="709"/>
    </row>
    <row r="124" spans="1:10" ht="14.25">
      <c r="D124" s="299"/>
      <c r="E124" s="709"/>
      <c r="F124" s="709"/>
    </row>
    <row r="125" spans="1:10" ht="14.25">
      <c r="D125" s="299"/>
      <c r="E125" s="709"/>
      <c r="F125" s="709"/>
    </row>
    <row r="126" spans="1:10" ht="14.25">
      <c r="D126" s="299"/>
      <c r="E126" s="709"/>
      <c r="F126" s="709"/>
    </row>
    <row r="127" spans="1:10" ht="14.25">
      <c r="D127" s="299"/>
      <c r="E127" s="709"/>
      <c r="F127" s="709"/>
    </row>
    <row r="128" spans="1:10" ht="14.25">
      <c r="D128" s="299"/>
      <c r="E128" s="709"/>
      <c r="F128" s="709"/>
    </row>
    <row r="129" spans="4:6" ht="14.25">
      <c r="D129" s="299"/>
      <c r="E129" s="709"/>
      <c r="F129" s="709"/>
    </row>
    <row r="130" spans="4:6" ht="14.25">
      <c r="D130" s="299"/>
      <c r="E130" s="709"/>
      <c r="F130" s="709"/>
    </row>
    <row r="131" spans="4:6" ht="14.25">
      <c r="D131" s="299"/>
      <c r="E131" s="709"/>
      <c r="F131" s="709"/>
    </row>
    <row r="132" spans="4:6" ht="14.25">
      <c r="D132" s="299"/>
      <c r="E132" s="709"/>
      <c r="F132" s="709"/>
    </row>
    <row r="133" spans="4:6" ht="14.25">
      <c r="D133" s="299"/>
      <c r="E133" s="709"/>
      <c r="F133" s="709"/>
    </row>
    <row r="134" spans="4:6" ht="14.25">
      <c r="D134" s="299"/>
      <c r="E134" s="709"/>
      <c r="F134" s="709"/>
    </row>
    <row r="135" spans="4:6" ht="14.25">
      <c r="D135" s="299"/>
      <c r="E135" s="709"/>
      <c r="F135" s="709"/>
    </row>
    <row r="136" spans="4:6" ht="14.25">
      <c r="D136" s="299"/>
      <c r="E136" s="709"/>
      <c r="F136" s="709"/>
    </row>
    <row r="137" spans="4:6" ht="14.25">
      <c r="D137" s="299"/>
      <c r="E137" s="709"/>
      <c r="F137" s="709"/>
    </row>
    <row r="138" spans="4:6" ht="14.25">
      <c r="D138" s="299"/>
      <c r="E138" s="709"/>
      <c r="F138" s="709"/>
    </row>
    <row r="139" spans="4:6" ht="14.25">
      <c r="D139" s="299"/>
      <c r="E139" s="709"/>
      <c r="F139" s="709"/>
    </row>
    <row r="140" spans="4:6" ht="14.25">
      <c r="D140" s="299"/>
      <c r="E140" s="709"/>
      <c r="F140" s="709"/>
    </row>
    <row r="141" spans="4:6" ht="14.25">
      <c r="D141" s="299"/>
      <c r="E141" s="709"/>
      <c r="F141" s="709"/>
    </row>
    <row r="142" spans="4:6" ht="14.25">
      <c r="D142" s="299"/>
      <c r="E142" s="709"/>
      <c r="F142" s="709"/>
    </row>
    <row r="143" spans="4:6" ht="14.25">
      <c r="D143" s="299"/>
      <c r="E143" s="709"/>
      <c r="F143" s="709"/>
    </row>
    <row r="144" spans="4:6" ht="14.25">
      <c r="D144" s="299"/>
      <c r="E144" s="709"/>
      <c r="F144" s="709"/>
    </row>
    <row r="145" spans="4:6" ht="14.25">
      <c r="D145" s="299"/>
      <c r="E145" s="709"/>
      <c r="F145" s="709"/>
    </row>
    <row r="146" spans="4:6" ht="14.25">
      <c r="D146" s="299"/>
      <c r="E146" s="709"/>
      <c r="F146" s="709"/>
    </row>
    <row r="147" spans="4:6" ht="14.25">
      <c r="D147" s="299"/>
      <c r="E147" s="709"/>
      <c r="F147" s="709"/>
    </row>
    <row r="148" spans="4:6" ht="14.25">
      <c r="D148" s="299"/>
      <c r="E148" s="709"/>
      <c r="F148" s="709"/>
    </row>
    <row r="149" spans="4:6" ht="14.25">
      <c r="D149" s="299"/>
      <c r="E149" s="709"/>
      <c r="F149" s="709"/>
    </row>
    <row r="150" spans="4:6" ht="14.25">
      <c r="D150" s="299"/>
      <c r="E150" s="709"/>
      <c r="F150" s="709"/>
    </row>
    <row r="151" spans="4:6" ht="14.25">
      <c r="D151" s="299"/>
      <c r="E151" s="709"/>
      <c r="F151" s="709"/>
    </row>
    <row r="152" spans="4:6" ht="14.25">
      <c r="D152" s="299"/>
      <c r="E152" s="709"/>
      <c r="F152" s="709"/>
    </row>
    <row r="153" spans="4:6" ht="14.25">
      <c r="D153" s="299"/>
      <c r="E153" s="709"/>
      <c r="F153" s="709"/>
    </row>
    <row r="154" spans="4:6" ht="14.25">
      <c r="D154" s="299"/>
      <c r="E154" s="709"/>
      <c r="F154" s="709"/>
    </row>
    <row r="155" spans="4:6" ht="14.25">
      <c r="D155" s="299"/>
      <c r="E155" s="709"/>
      <c r="F155" s="709"/>
    </row>
    <row r="156" spans="4:6" ht="14.25">
      <c r="D156" s="299"/>
      <c r="E156" s="709"/>
      <c r="F156" s="709"/>
    </row>
    <row r="157" spans="4:6" ht="14.25">
      <c r="D157" s="299"/>
      <c r="E157" s="709"/>
      <c r="F157" s="709"/>
    </row>
    <row r="158" spans="4:6" ht="14.25">
      <c r="D158" s="299"/>
      <c r="E158" s="709"/>
      <c r="F158" s="709"/>
    </row>
    <row r="159" spans="4:6" ht="14.25">
      <c r="D159" s="299"/>
      <c r="E159" s="709"/>
      <c r="F159" s="709"/>
    </row>
    <row r="160" spans="4:6" ht="14.25">
      <c r="D160" s="299"/>
      <c r="E160" s="709"/>
      <c r="F160" s="709"/>
    </row>
    <row r="161" spans="4:6" ht="14.25">
      <c r="D161" s="299"/>
      <c r="E161" s="709"/>
      <c r="F161" s="709"/>
    </row>
    <row r="162" spans="4:6" ht="14.25">
      <c r="D162" s="299"/>
      <c r="E162" s="709"/>
      <c r="F162" s="709"/>
    </row>
    <row r="163" spans="4:6" ht="14.25">
      <c r="D163" s="299"/>
      <c r="E163" s="709"/>
      <c r="F163" s="709"/>
    </row>
    <row r="164" spans="4:6" ht="14.25">
      <c r="D164" s="299"/>
      <c r="E164" s="709"/>
      <c r="F164" s="709"/>
    </row>
    <row r="165" spans="4:6" ht="14.25">
      <c r="D165" s="299"/>
      <c r="E165" s="709"/>
      <c r="F165" s="709"/>
    </row>
    <row r="166" spans="4:6" ht="14.25">
      <c r="D166" s="299"/>
      <c r="E166" s="709"/>
      <c r="F166" s="709"/>
    </row>
    <row r="167" spans="4:6" ht="14.25">
      <c r="D167" s="299"/>
      <c r="E167" s="709"/>
      <c r="F167" s="709"/>
    </row>
    <row r="168" spans="4:6" ht="14.25">
      <c r="D168" s="299"/>
      <c r="E168" s="709"/>
      <c r="F168" s="709"/>
    </row>
    <row r="169" spans="4:6" ht="14.25">
      <c r="D169" s="299"/>
      <c r="E169" s="709"/>
      <c r="F169" s="709"/>
    </row>
    <row r="170" spans="4:6" ht="14.25">
      <c r="D170" s="299"/>
      <c r="E170" s="709"/>
      <c r="F170" s="709"/>
    </row>
    <row r="171" spans="4:6" ht="14.25">
      <c r="D171" s="299"/>
      <c r="E171" s="709"/>
      <c r="F171" s="709"/>
    </row>
    <row r="172" spans="4:6" ht="14.25">
      <c r="E172" s="709"/>
      <c r="F172" s="709"/>
    </row>
    <row r="173" spans="4:6" ht="14.25">
      <c r="E173" s="709"/>
      <c r="F173" s="709"/>
    </row>
    <row r="174" spans="4:6" ht="14.25">
      <c r="E174" s="709"/>
      <c r="F174" s="709"/>
    </row>
    <row r="175" spans="4:6" ht="14.25">
      <c r="E175" s="709"/>
      <c r="F175" s="709"/>
    </row>
    <row r="176" spans="4:6" ht="14.25">
      <c r="E176" s="709"/>
      <c r="F176" s="709"/>
    </row>
    <row r="177" spans="5:6" ht="14.25">
      <c r="E177" s="709"/>
      <c r="F177" s="709"/>
    </row>
    <row r="178" spans="5:6" ht="14.25">
      <c r="E178" s="709"/>
      <c r="F178" s="709"/>
    </row>
    <row r="179" spans="5:6" ht="14.25">
      <c r="E179" s="709"/>
      <c r="F179" s="709"/>
    </row>
    <row r="180" spans="5:6" ht="14.25">
      <c r="E180" s="709"/>
      <c r="F180" s="709"/>
    </row>
    <row r="181" spans="5:6" ht="14.25">
      <c r="E181" s="709"/>
      <c r="F181" s="709"/>
    </row>
    <row r="182" spans="5:6" ht="14.25">
      <c r="E182" s="709"/>
      <c r="F182" s="709"/>
    </row>
    <row r="183" spans="5:6" ht="14.25">
      <c r="E183" s="709"/>
      <c r="F183" s="709"/>
    </row>
    <row r="184" spans="5:6" ht="14.25">
      <c r="E184" s="709"/>
      <c r="F184" s="709"/>
    </row>
    <row r="185" spans="5:6" ht="14.25">
      <c r="E185" s="709"/>
      <c r="F185" s="709"/>
    </row>
    <row r="186" spans="5:6" ht="14.25">
      <c r="E186" s="709"/>
      <c r="F186" s="709"/>
    </row>
    <row r="187" spans="5:6" ht="14.25">
      <c r="E187" s="709"/>
      <c r="F187" s="709"/>
    </row>
    <row r="188" spans="5:6" ht="14.25">
      <c r="E188" s="709"/>
      <c r="F188" s="709"/>
    </row>
    <row r="189" spans="5:6" ht="14.25">
      <c r="E189" s="709"/>
      <c r="F189" s="709"/>
    </row>
    <row r="190" spans="5:6" ht="14.25">
      <c r="E190" s="709"/>
      <c r="F190" s="709"/>
    </row>
    <row r="191" spans="5:6" ht="14.25">
      <c r="E191" s="709"/>
      <c r="F191" s="709"/>
    </row>
    <row r="192" spans="5:6" ht="14.25">
      <c r="E192" s="709"/>
      <c r="F192" s="709"/>
    </row>
    <row r="193" spans="5:6" ht="14.25">
      <c r="E193" s="709"/>
      <c r="F193" s="709"/>
    </row>
    <row r="194" spans="5:6" ht="14.25">
      <c r="E194" s="709"/>
      <c r="F194" s="709"/>
    </row>
    <row r="195" spans="5:6" ht="14.25">
      <c r="E195" s="709"/>
      <c r="F195" s="709"/>
    </row>
    <row r="196" spans="5:6" ht="14.25">
      <c r="E196" s="709"/>
      <c r="F196" s="709"/>
    </row>
    <row r="197" spans="5:6" ht="14.25">
      <c r="E197" s="709"/>
      <c r="F197" s="709"/>
    </row>
    <row r="198" spans="5:6" ht="14.25">
      <c r="E198" s="709"/>
      <c r="F198" s="709"/>
    </row>
    <row r="199" spans="5:6" ht="14.25">
      <c r="E199" s="709"/>
      <c r="F199" s="709"/>
    </row>
    <row r="200" spans="5:6" ht="14.25">
      <c r="E200" s="709"/>
      <c r="F200" s="709"/>
    </row>
    <row r="201" spans="5:6" ht="14.25">
      <c r="E201" s="709"/>
      <c r="F201" s="709"/>
    </row>
    <row r="202" spans="5:6" ht="14.25">
      <c r="E202" s="709"/>
      <c r="F202" s="709"/>
    </row>
    <row r="203" spans="5:6" ht="14.25">
      <c r="E203" s="709"/>
      <c r="F203" s="709"/>
    </row>
    <row r="204" spans="5:6" ht="14.25">
      <c r="E204" s="709"/>
      <c r="F204" s="709"/>
    </row>
    <row r="205" spans="5:6" ht="14.25">
      <c r="E205" s="709"/>
      <c r="F205" s="709"/>
    </row>
    <row r="206" spans="5:6" ht="14.25">
      <c r="E206" s="709"/>
      <c r="F206" s="709"/>
    </row>
    <row r="207" spans="5:6" ht="14.25">
      <c r="E207" s="709"/>
      <c r="F207" s="709"/>
    </row>
    <row r="208" spans="5:6" ht="14.25">
      <c r="E208" s="709"/>
      <c r="F208" s="709"/>
    </row>
    <row r="209" spans="5:6" ht="14.25">
      <c r="E209" s="709"/>
      <c r="F209" s="709"/>
    </row>
    <row r="210" spans="5:6" ht="14.25">
      <c r="E210" s="709"/>
      <c r="F210" s="709"/>
    </row>
    <row r="211" spans="5:6" ht="14.25">
      <c r="E211" s="709"/>
      <c r="F211" s="709"/>
    </row>
    <row r="212" spans="5:6" ht="14.25">
      <c r="E212" s="709"/>
      <c r="F212" s="709"/>
    </row>
    <row r="213" spans="5:6" ht="14.25">
      <c r="E213" s="709"/>
      <c r="F213" s="709"/>
    </row>
    <row r="214" spans="5:6" ht="14.25">
      <c r="E214" s="709"/>
      <c r="F214" s="709"/>
    </row>
    <row r="215" spans="5:6" ht="14.25">
      <c r="E215" s="709"/>
      <c r="F215" s="709"/>
    </row>
    <row r="216" spans="5:6" ht="14.25">
      <c r="E216" s="709"/>
      <c r="F216" s="709"/>
    </row>
    <row r="217" spans="5:6" ht="14.25">
      <c r="E217" s="709"/>
      <c r="F217" s="709"/>
    </row>
    <row r="218" spans="5:6" ht="14.25">
      <c r="E218" s="709"/>
      <c r="F218" s="709"/>
    </row>
    <row r="219" spans="5:6" ht="14.25">
      <c r="E219" s="709"/>
      <c r="F219" s="709"/>
    </row>
    <row r="220" spans="5:6" ht="14.25">
      <c r="E220" s="709"/>
      <c r="F220" s="709"/>
    </row>
    <row r="221" spans="5:6" ht="14.25">
      <c r="E221" s="709"/>
      <c r="F221" s="709"/>
    </row>
    <row r="222" spans="5:6" ht="14.25">
      <c r="E222" s="709"/>
      <c r="F222" s="709"/>
    </row>
    <row r="223" spans="5:6" ht="14.25">
      <c r="E223" s="709"/>
      <c r="F223" s="709"/>
    </row>
    <row r="224" spans="5:6" ht="14.25">
      <c r="E224" s="709"/>
      <c r="F224" s="709"/>
    </row>
    <row r="225" spans="5:6" ht="14.25">
      <c r="E225" s="709"/>
      <c r="F225" s="709"/>
    </row>
    <row r="226" spans="5:6" ht="14.25">
      <c r="E226" s="709"/>
      <c r="F226" s="709"/>
    </row>
    <row r="227" spans="5:6" ht="14.25">
      <c r="E227" s="709"/>
      <c r="F227" s="709"/>
    </row>
    <row r="228" spans="5:6" ht="14.25">
      <c r="E228" s="709"/>
      <c r="F228" s="709"/>
    </row>
    <row r="229" spans="5:6" ht="14.25">
      <c r="E229" s="709"/>
      <c r="F229" s="709"/>
    </row>
    <row r="230" spans="5:6" ht="14.25">
      <c r="E230" s="709"/>
      <c r="F230" s="709"/>
    </row>
    <row r="231" spans="5:6" ht="14.25">
      <c r="E231" s="709"/>
      <c r="F231" s="709"/>
    </row>
    <row r="232" spans="5:6" ht="14.25">
      <c r="E232" s="709"/>
      <c r="F232" s="709"/>
    </row>
    <row r="233" spans="5:6" ht="14.25">
      <c r="E233" s="709"/>
      <c r="F233" s="709"/>
    </row>
    <row r="234" spans="5:6" ht="14.25">
      <c r="E234" s="709"/>
      <c r="F234" s="709"/>
    </row>
    <row r="235" spans="5:6" ht="14.25">
      <c r="E235" s="709"/>
      <c r="F235" s="709"/>
    </row>
    <row r="236" spans="5:6" ht="14.25">
      <c r="E236" s="709"/>
      <c r="F236" s="709"/>
    </row>
    <row r="237" spans="5:6" ht="14.25">
      <c r="E237" s="709"/>
      <c r="F237" s="709"/>
    </row>
    <row r="238" spans="5:6" ht="14.25">
      <c r="E238" s="709"/>
      <c r="F238" s="709"/>
    </row>
    <row r="239" spans="5:6" ht="14.25">
      <c r="E239" s="709"/>
      <c r="F239" s="709"/>
    </row>
    <row r="240" spans="5:6" ht="14.25">
      <c r="E240" s="709"/>
      <c r="F240" s="709"/>
    </row>
    <row r="241" spans="5:6" ht="14.25">
      <c r="E241" s="709"/>
      <c r="F241" s="709"/>
    </row>
    <row r="242" spans="5:6" ht="14.25">
      <c r="E242" s="709"/>
      <c r="F242" s="709"/>
    </row>
    <row r="243" spans="5:6" ht="14.25">
      <c r="E243" s="709"/>
      <c r="F243" s="709"/>
    </row>
    <row r="244" spans="5:6" ht="14.25">
      <c r="E244" s="709"/>
      <c r="F244" s="709"/>
    </row>
  </sheetData>
  <sheetProtection selectLockedCells="1" selectUnlockedCells="1"/>
  <mergeCells count="31">
    <mergeCell ref="B111:C111"/>
    <mergeCell ref="B101:C101"/>
    <mergeCell ref="B102:C102"/>
    <mergeCell ref="B103:C103"/>
    <mergeCell ref="B104:C104"/>
    <mergeCell ref="B105:C105"/>
    <mergeCell ref="B108:C108"/>
    <mergeCell ref="B109:C109"/>
    <mergeCell ref="B110:C110"/>
    <mergeCell ref="B106:C106"/>
    <mergeCell ref="B107:C107"/>
    <mergeCell ref="B99:C99"/>
    <mergeCell ref="B100:C100"/>
    <mergeCell ref="B94:C94"/>
    <mergeCell ref="B95:C95"/>
    <mergeCell ref="B96:C96"/>
    <mergeCell ref="B92:C92"/>
    <mergeCell ref="B93:C93"/>
    <mergeCell ref="B90:C90"/>
    <mergeCell ref="B97:C97"/>
    <mergeCell ref="B98:C98"/>
    <mergeCell ref="B42:C42"/>
    <mergeCell ref="B43:C43"/>
    <mergeCell ref="B44:C44"/>
    <mergeCell ref="B45:C45"/>
    <mergeCell ref="B91:C91"/>
    <mergeCell ref="A1:C1"/>
    <mergeCell ref="B38:C38"/>
    <mergeCell ref="B39:C39"/>
    <mergeCell ref="B40:C40"/>
    <mergeCell ref="B41:C41"/>
  </mergeCells>
  <printOptions horizontalCentered="1"/>
  <pageMargins left="0.19685039370078741" right="0.19685039370078741" top="1.0236220472440944" bottom="0.39370078740157483" header="0.35433070866141736" footer="0.19685039370078741"/>
  <pageSetup paperSize="9" firstPageNumber="111" orientation="portrait" r:id="rId1"/>
  <headerFooter alignWithMargins="0">
    <oddHeader>&amp;C&amp;"Times New Roman,Félkövér"&amp;14Vecsés Város Önkormányzat 2013. évi 
tervezett működési céltartaléka&amp;R&amp;12 7.1. sz. melléklet
Ezer Ft</oddHeader>
    <oddFooter>&amp;C- &amp;P -</oddFooter>
  </headerFooter>
  <rowBreaks count="1" manualBreakCount="1">
    <brk id="66" max="9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view="pageBreakPreview" zoomScale="120" zoomScaleNormal="120" zoomScaleSheetLayoutView="120" workbookViewId="0">
      <selection activeCell="G13" sqref="G13"/>
    </sheetView>
  </sheetViews>
  <sheetFormatPr defaultRowHeight="12.75"/>
  <cols>
    <col min="1" max="1" width="3.33203125" style="274" customWidth="1"/>
    <col min="2" max="2" width="4" style="274" customWidth="1"/>
    <col min="3" max="3" width="8" style="274" customWidth="1"/>
    <col min="4" max="4" width="58.1640625" style="274" customWidth="1"/>
    <col min="5" max="5" width="0" style="274" hidden="1" customWidth="1"/>
    <col min="6" max="7" width="15.1640625" style="274" customWidth="1"/>
    <col min="8" max="16384" width="9.33203125" style="274"/>
  </cols>
  <sheetData>
    <row r="1" spans="1:8" ht="48" customHeight="1">
      <c r="A1" s="1978" t="s">
        <v>318</v>
      </c>
      <c r="B1" s="1978"/>
      <c r="C1" s="1978"/>
      <c r="D1" s="710" t="s">
        <v>258</v>
      </c>
      <c r="E1" s="710" t="s">
        <v>1173</v>
      </c>
      <c r="F1" s="711" t="s">
        <v>1258</v>
      </c>
      <c r="G1" s="711" t="s">
        <v>1921</v>
      </c>
    </row>
    <row r="2" spans="1:8" ht="15.75" customHeight="1">
      <c r="A2" s="712" t="s">
        <v>4</v>
      </c>
      <c r="B2" s="713"/>
      <c r="C2" s="714"/>
      <c r="D2" s="715" t="s">
        <v>1075</v>
      </c>
      <c r="E2" s="716">
        <f>SUM(E3)</f>
        <v>36902</v>
      </c>
      <c r="F2" s="716">
        <f>SUM(F3)</f>
        <v>55000</v>
      </c>
      <c r="G2" s="716">
        <f>SUM(G3)</f>
        <v>234910</v>
      </c>
    </row>
    <row r="3" spans="1:8" ht="17.25" customHeight="1">
      <c r="A3" s="717"/>
      <c r="B3" s="648" t="s">
        <v>965</v>
      </c>
      <c r="C3" s="649"/>
      <c r="D3" s="650" t="s">
        <v>1076</v>
      </c>
      <c r="E3" s="651">
        <f>SUM(E5:E11)+E4</f>
        <v>36902</v>
      </c>
      <c r="F3" s="651">
        <f>SUM(F4+F5+F7+F6)</f>
        <v>55000</v>
      </c>
      <c r="G3" s="651">
        <f>SUM(G4+G5+G7+G6)+G8+G9+G10+G11+G12+G13</f>
        <v>234910</v>
      </c>
      <c r="H3" s="322"/>
    </row>
    <row r="4" spans="1:8" ht="17.25" customHeight="1">
      <c r="A4" s="717"/>
      <c r="B4" s="628" t="s">
        <v>184</v>
      </c>
      <c r="C4" s="649"/>
      <c r="D4" s="650" t="s">
        <v>1265</v>
      </c>
      <c r="E4" s="656">
        <v>27597</v>
      </c>
      <c r="F4" s="656">
        <v>50000</v>
      </c>
      <c r="G4" s="656">
        <v>39551</v>
      </c>
    </row>
    <row r="5" spans="1:8" ht="15">
      <c r="A5" s="717"/>
      <c r="B5" s="628" t="s">
        <v>893</v>
      </c>
      <c r="C5" s="649"/>
      <c r="D5" s="650" t="s">
        <v>1286</v>
      </c>
      <c r="E5" s="718"/>
      <c r="F5" s="656"/>
      <c r="G5" s="656"/>
    </row>
    <row r="6" spans="1:8" ht="15">
      <c r="A6" s="717"/>
      <c r="B6" s="628" t="s">
        <v>895</v>
      </c>
      <c r="C6" s="649"/>
      <c r="D6" s="650" t="s">
        <v>1174</v>
      </c>
      <c r="E6" s="718"/>
      <c r="F6" s="656">
        <v>5000</v>
      </c>
      <c r="G6" s="656">
        <v>6013</v>
      </c>
    </row>
    <row r="7" spans="1:8" ht="15">
      <c r="A7" s="717"/>
      <c r="B7" s="628" t="s">
        <v>896</v>
      </c>
      <c r="C7" s="649"/>
      <c r="D7" s="650" t="s">
        <v>1735</v>
      </c>
      <c r="E7" s="718"/>
      <c r="F7" s="656">
        <f>SUM(F8:F11)</f>
        <v>0</v>
      </c>
      <c r="G7" s="656">
        <v>97491</v>
      </c>
    </row>
    <row r="8" spans="1:8" ht="15">
      <c r="A8" s="717"/>
      <c r="B8" s="628" t="s">
        <v>898</v>
      </c>
      <c r="C8" s="649"/>
      <c r="D8" s="650" t="s">
        <v>1739</v>
      </c>
      <c r="E8" s="718"/>
      <c r="F8" s="656"/>
      <c r="G8" s="656">
        <v>24805</v>
      </c>
    </row>
    <row r="9" spans="1:8" ht="15">
      <c r="A9" s="717"/>
      <c r="B9" s="628" t="s">
        <v>356</v>
      </c>
      <c r="C9" s="649"/>
      <c r="D9" s="650" t="s">
        <v>1740</v>
      </c>
      <c r="E9" s="718">
        <v>1755</v>
      </c>
      <c r="F9" s="656"/>
      <c r="G9" s="656">
        <v>7500</v>
      </c>
    </row>
    <row r="10" spans="1:8" ht="15">
      <c r="A10" s="717"/>
      <c r="B10" s="628" t="s">
        <v>358</v>
      </c>
      <c r="C10" s="649"/>
      <c r="D10" s="650" t="s">
        <v>1756</v>
      </c>
      <c r="E10" s="718">
        <v>1550</v>
      </c>
      <c r="F10" s="656"/>
      <c r="G10" s="656">
        <v>2600</v>
      </c>
    </row>
    <row r="11" spans="1:8" ht="15">
      <c r="A11" s="717"/>
      <c r="B11" s="628" t="s">
        <v>1736</v>
      </c>
      <c r="C11" s="649"/>
      <c r="D11" s="650" t="s">
        <v>1844</v>
      </c>
      <c r="E11" s="718">
        <v>6000</v>
      </c>
      <c r="F11" s="656"/>
      <c r="G11" s="656">
        <v>1714</v>
      </c>
    </row>
    <row r="12" spans="1:8" ht="15">
      <c r="A12" s="717"/>
      <c r="B12" s="628" t="s">
        <v>1737</v>
      </c>
      <c r="C12" s="649"/>
      <c r="D12" s="650" t="s">
        <v>1845</v>
      </c>
      <c r="E12" s="718"/>
      <c r="F12" s="656"/>
      <c r="G12" s="656">
        <v>3000</v>
      </c>
    </row>
    <row r="13" spans="1:8" ht="15">
      <c r="A13" s="717"/>
      <c r="B13" s="628" t="s">
        <v>1738</v>
      </c>
      <c r="C13" s="649"/>
      <c r="D13" s="650" t="s">
        <v>1933</v>
      </c>
      <c r="E13" s="718"/>
      <c r="F13" s="656"/>
      <c r="G13" s="656">
        <v>52236</v>
      </c>
    </row>
    <row r="14" spans="1:8" ht="17.25" customHeight="1">
      <c r="A14" s="717" t="s">
        <v>5</v>
      </c>
      <c r="B14" s="667"/>
      <c r="C14" s="649"/>
      <c r="D14" s="646" t="s">
        <v>1116</v>
      </c>
      <c r="E14" s="647">
        <f>SUM(E15+E16+E17+E19)</f>
        <v>31000</v>
      </c>
      <c r="F14" s="647">
        <f>SUM(F15+F16+F17+F19+F36)+F20+F21+F22+F23+F24+F25+F26+F27+F28</f>
        <v>40000</v>
      </c>
      <c r="G14" s="647">
        <f>SUM(G15+G16+G17+G19+G36)+G20+G21+G22+G23+G24+G25+G26+G27+G28+G29+G30+G31+G18</f>
        <v>14503</v>
      </c>
    </row>
    <row r="15" spans="1:8" s="303" customFormat="1" ht="17.25" customHeight="1">
      <c r="A15" s="717"/>
      <c r="B15" s="648" t="s">
        <v>302</v>
      </c>
      <c r="C15" s="665"/>
      <c r="D15" s="650" t="s">
        <v>1175</v>
      </c>
      <c r="E15" s="651">
        <v>30000</v>
      </c>
      <c r="F15" s="651">
        <v>20000</v>
      </c>
      <c r="G15" s="651">
        <v>0</v>
      </c>
    </row>
    <row r="16" spans="1:8" ht="15">
      <c r="A16" s="717"/>
      <c r="B16" s="648" t="s">
        <v>304</v>
      </c>
      <c r="C16" s="665"/>
      <c r="D16" s="650" t="s">
        <v>1176</v>
      </c>
      <c r="E16" s="651"/>
      <c r="F16" s="651">
        <v>10000</v>
      </c>
      <c r="G16" s="651">
        <v>10000</v>
      </c>
    </row>
    <row r="17" spans="1:7" ht="15">
      <c r="A17" s="717"/>
      <c r="B17" s="648" t="s">
        <v>305</v>
      </c>
      <c r="C17" s="665"/>
      <c r="D17" s="650" t="s">
        <v>1272</v>
      </c>
      <c r="E17" s="651"/>
      <c r="F17" s="651">
        <v>10000</v>
      </c>
      <c r="G17" s="651">
        <v>3169</v>
      </c>
    </row>
    <row r="18" spans="1:7" ht="15">
      <c r="A18" s="717"/>
      <c r="B18" s="648" t="s">
        <v>306</v>
      </c>
      <c r="C18" s="665"/>
      <c r="D18" s="650" t="s">
        <v>1741</v>
      </c>
      <c r="E18" s="651">
        <v>0</v>
      </c>
      <c r="F18" s="651">
        <v>0</v>
      </c>
      <c r="G18" s="651"/>
    </row>
    <row r="19" spans="1:7" ht="15">
      <c r="A19" s="717"/>
      <c r="B19" s="648" t="s">
        <v>307</v>
      </c>
      <c r="C19" s="665"/>
      <c r="D19" s="650" t="s">
        <v>1742</v>
      </c>
      <c r="E19" s="651">
        <v>1000</v>
      </c>
      <c r="F19" s="651">
        <v>0</v>
      </c>
      <c r="G19" s="651"/>
    </row>
    <row r="20" spans="1:7" ht="15">
      <c r="A20" s="717"/>
      <c r="B20" s="648" t="s">
        <v>308</v>
      </c>
      <c r="C20" s="665"/>
      <c r="D20" s="650" t="s">
        <v>1743</v>
      </c>
      <c r="E20" s="651"/>
      <c r="F20" s="651"/>
      <c r="G20" s="651">
        <v>0</v>
      </c>
    </row>
    <row r="21" spans="1:7" ht="15">
      <c r="A21" s="717"/>
      <c r="B21" s="648" t="s">
        <v>309</v>
      </c>
      <c r="C21" s="665"/>
      <c r="D21" s="650" t="s">
        <v>1744</v>
      </c>
      <c r="E21" s="651"/>
      <c r="F21" s="651"/>
      <c r="G21" s="651">
        <v>1292</v>
      </c>
    </row>
    <row r="22" spans="1:7" ht="15">
      <c r="A22" s="717"/>
      <c r="B22" s="648" t="s">
        <v>1007</v>
      </c>
      <c r="C22" s="665"/>
      <c r="D22" s="650" t="s">
        <v>1745</v>
      </c>
      <c r="E22" s="651"/>
      <c r="F22" s="651"/>
      <c r="G22" s="651">
        <v>42</v>
      </c>
    </row>
    <row r="23" spans="1:7" ht="15">
      <c r="A23" s="717"/>
      <c r="B23" s="648" t="s">
        <v>1009</v>
      </c>
      <c r="C23" s="665"/>
      <c r="D23" s="650" t="s">
        <v>1846</v>
      </c>
      <c r="E23" s="651"/>
      <c r="F23" s="651">
        <v>0</v>
      </c>
      <c r="G23" s="651"/>
    </row>
    <row r="24" spans="1:7" ht="15" hidden="1">
      <c r="A24" s="717"/>
      <c r="B24" s="648" t="s">
        <v>304</v>
      </c>
      <c r="C24" s="665"/>
      <c r="D24" s="650" t="s">
        <v>1176</v>
      </c>
      <c r="E24" s="651"/>
      <c r="F24" s="651"/>
      <c r="G24" s="651"/>
    </row>
    <row r="25" spans="1:7" ht="15" hidden="1">
      <c r="A25" s="717"/>
      <c r="B25" s="648" t="s">
        <v>305</v>
      </c>
      <c r="C25" s="665"/>
      <c r="D25" s="650" t="s">
        <v>1272</v>
      </c>
      <c r="E25" s="651"/>
      <c r="F25" s="651"/>
      <c r="G25" s="651"/>
    </row>
    <row r="26" spans="1:7" ht="15" hidden="1">
      <c r="A26" s="717"/>
      <c r="B26" s="648"/>
      <c r="C26" s="665"/>
      <c r="D26" s="650" t="s">
        <v>699</v>
      </c>
      <c r="E26" s="651"/>
      <c r="F26" s="651"/>
      <c r="G26" s="651"/>
    </row>
    <row r="27" spans="1:7" s="793" customFormat="1" ht="30" hidden="1">
      <c r="A27" s="1016"/>
      <c r="B27" s="1017"/>
      <c r="C27" s="1018"/>
      <c r="D27" s="822" t="s">
        <v>1261</v>
      </c>
      <c r="E27" s="1019"/>
      <c r="F27" s="801"/>
      <c r="G27" s="801"/>
    </row>
    <row r="28" spans="1:7" ht="17.25" hidden="1" customHeight="1">
      <c r="A28" s="717"/>
      <c r="B28" s="648"/>
      <c r="C28" s="654"/>
      <c r="D28" s="650"/>
      <c r="E28" s="676"/>
      <c r="F28" s="651"/>
      <c r="G28" s="651"/>
    </row>
    <row r="29" spans="1:7" ht="17.25" hidden="1" customHeight="1">
      <c r="A29" s="717"/>
      <c r="B29" s="648"/>
      <c r="C29" s="654"/>
      <c r="D29" s="650"/>
      <c r="E29" s="676"/>
      <c r="F29" s="651"/>
      <c r="G29" s="651"/>
    </row>
    <row r="30" spans="1:7" ht="17.25" hidden="1" customHeight="1">
      <c r="A30" s="717"/>
      <c r="B30" s="648"/>
      <c r="C30" s="654"/>
      <c r="D30" s="650"/>
      <c r="E30" s="676"/>
      <c r="F30" s="651"/>
      <c r="G30" s="651"/>
    </row>
    <row r="31" spans="1:7" ht="17.25" hidden="1" customHeight="1">
      <c r="A31" s="717"/>
      <c r="B31" s="648"/>
      <c r="C31" s="654"/>
      <c r="D31" s="650"/>
      <c r="E31" s="676"/>
      <c r="F31" s="651"/>
      <c r="G31" s="651"/>
    </row>
    <row r="32" spans="1:7" hidden="1"/>
    <row r="33" spans="1:7" hidden="1"/>
    <row r="34" spans="1:7" hidden="1"/>
    <row r="35" spans="1:7" hidden="1"/>
    <row r="36" spans="1:7" ht="20.25" hidden="1" customHeight="1">
      <c r="A36" s="719"/>
      <c r="B36" s="648"/>
      <c r="C36" s="720"/>
      <c r="D36" s="696"/>
      <c r="E36" s="697"/>
      <c r="F36" s="697"/>
      <c r="G36" s="697"/>
    </row>
    <row r="37" spans="1:7" ht="21" customHeight="1">
      <c r="A37" s="721"/>
      <c r="B37" s="722"/>
      <c r="C37" s="723"/>
      <c r="D37" s="724" t="s">
        <v>1172</v>
      </c>
      <c r="E37" s="725">
        <f>SUM(E14+E2)</f>
        <v>67902</v>
      </c>
      <c r="F37" s="725">
        <f>SUM(F14+F2)</f>
        <v>95000</v>
      </c>
      <c r="G37" s="725">
        <f>SUM(G14+G2)</f>
        <v>249413</v>
      </c>
    </row>
    <row r="38" spans="1:7" ht="14.25">
      <c r="A38" s="299"/>
      <c r="B38" s="527"/>
      <c r="C38" s="527"/>
      <c r="D38" s="299"/>
    </row>
    <row r="39" spans="1:7" ht="14.25">
      <c r="A39" s="299"/>
      <c r="B39" s="527"/>
      <c r="C39" s="527"/>
      <c r="D39" s="299"/>
    </row>
    <row r="40" spans="1:7" ht="14.25">
      <c r="A40" s="299"/>
      <c r="B40" s="527"/>
      <c r="C40" s="527"/>
      <c r="D40" s="299"/>
    </row>
    <row r="41" spans="1:7" ht="14.25">
      <c r="A41" s="299"/>
      <c r="B41" s="299"/>
      <c r="C41" s="299"/>
      <c r="D41" s="299"/>
    </row>
    <row r="42" spans="1:7" ht="14.25">
      <c r="A42" s="299"/>
      <c r="B42" s="299"/>
      <c r="C42" s="299"/>
      <c r="D42" s="299"/>
    </row>
    <row r="43" spans="1:7" ht="14.25">
      <c r="D43" s="299"/>
    </row>
    <row r="44" spans="1:7" ht="14.25">
      <c r="D44" s="299"/>
    </row>
    <row r="45" spans="1:7" ht="14.25">
      <c r="D45" s="299"/>
    </row>
    <row r="46" spans="1:7" ht="14.25">
      <c r="D46" s="299"/>
    </row>
    <row r="47" spans="1:7" ht="14.25">
      <c r="D47" s="299"/>
    </row>
    <row r="48" spans="1:7" ht="14.25">
      <c r="D48" s="299"/>
    </row>
    <row r="49" spans="4:4" ht="14.25">
      <c r="D49" s="299"/>
    </row>
    <row r="50" spans="4:4" ht="14.25">
      <c r="D50" s="299"/>
    </row>
    <row r="51" spans="4:4" ht="14.25">
      <c r="D51" s="299"/>
    </row>
    <row r="52" spans="4:4" ht="14.25">
      <c r="D52" s="299"/>
    </row>
    <row r="53" spans="4:4" ht="14.25">
      <c r="D53" s="299"/>
    </row>
    <row r="54" spans="4:4" ht="14.25">
      <c r="D54" s="299"/>
    </row>
    <row r="55" spans="4:4" ht="14.25">
      <c r="D55" s="299"/>
    </row>
    <row r="56" spans="4:4" ht="14.25">
      <c r="D56" s="299"/>
    </row>
    <row r="57" spans="4:4" ht="14.25">
      <c r="D57" s="299"/>
    </row>
    <row r="58" spans="4:4" ht="14.25">
      <c r="D58" s="299"/>
    </row>
    <row r="59" spans="4:4" ht="14.25">
      <c r="D59" s="299"/>
    </row>
    <row r="60" spans="4:4" ht="14.25">
      <c r="D60" s="299"/>
    </row>
    <row r="61" spans="4:4" ht="14.25">
      <c r="D61" s="299"/>
    </row>
    <row r="62" spans="4:4" ht="14.25">
      <c r="D62" s="299"/>
    </row>
    <row r="63" spans="4:4" ht="14.25">
      <c r="D63" s="299"/>
    </row>
    <row r="64" spans="4:4" ht="14.25">
      <c r="D64" s="299"/>
    </row>
    <row r="65" spans="4:4" ht="14.25">
      <c r="D65" s="299"/>
    </row>
    <row r="66" spans="4:4" ht="14.25">
      <c r="D66" s="299"/>
    </row>
    <row r="67" spans="4:4" ht="14.25">
      <c r="D67" s="299"/>
    </row>
    <row r="68" spans="4:4" ht="14.25">
      <c r="D68" s="299"/>
    </row>
    <row r="69" spans="4:4" ht="14.25">
      <c r="D69" s="299"/>
    </row>
    <row r="70" spans="4:4" ht="14.25">
      <c r="D70" s="299"/>
    </row>
    <row r="71" spans="4:4" ht="14.25">
      <c r="D71" s="299"/>
    </row>
    <row r="72" spans="4:4" ht="14.25">
      <c r="D72" s="299"/>
    </row>
    <row r="73" spans="4:4" ht="14.25">
      <c r="D73" s="299"/>
    </row>
    <row r="74" spans="4:4" ht="14.25">
      <c r="D74" s="299"/>
    </row>
    <row r="75" spans="4:4" ht="14.25">
      <c r="D75" s="299"/>
    </row>
    <row r="76" spans="4:4" ht="14.25">
      <c r="D76" s="299"/>
    </row>
    <row r="77" spans="4:4" ht="14.25">
      <c r="D77" s="299"/>
    </row>
    <row r="78" spans="4:4" ht="14.25">
      <c r="D78" s="299"/>
    </row>
    <row r="79" spans="4:4" ht="14.25">
      <c r="D79" s="299"/>
    </row>
    <row r="80" spans="4:4" ht="14.25">
      <c r="D80" s="299"/>
    </row>
    <row r="81" spans="4:4" ht="14.25">
      <c r="D81" s="299"/>
    </row>
    <row r="82" spans="4:4" ht="14.25">
      <c r="D82" s="299"/>
    </row>
    <row r="83" spans="4:4" ht="14.25">
      <c r="D83" s="299"/>
    </row>
    <row r="84" spans="4:4" ht="14.25">
      <c r="D84" s="299"/>
    </row>
    <row r="85" spans="4:4" ht="14.25">
      <c r="D85" s="299"/>
    </row>
    <row r="86" spans="4:4" ht="14.25">
      <c r="D86" s="299"/>
    </row>
    <row r="87" spans="4:4" ht="14.25">
      <c r="D87" s="299"/>
    </row>
    <row r="88" spans="4:4" ht="14.25">
      <c r="D88" s="299"/>
    </row>
    <row r="89" spans="4:4" ht="14.25">
      <c r="D89" s="299"/>
    </row>
    <row r="90" spans="4:4" ht="14.25">
      <c r="D90" s="299"/>
    </row>
    <row r="91" spans="4:4" ht="14.25">
      <c r="D91" s="299"/>
    </row>
    <row r="92" spans="4:4" ht="14.25">
      <c r="D92" s="299"/>
    </row>
    <row r="93" spans="4:4" ht="14.25">
      <c r="D93" s="299"/>
    </row>
    <row r="94" spans="4:4" ht="14.25">
      <c r="D94" s="299"/>
    </row>
    <row r="95" spans="4:4" ht="14.25">
      <c r="D95" s="299"/>
    </row>
    <row r="96" spans="4:4" ht="14.25">
      <c r="D96" s="299"/>
    </row>
  </sheetData>
  <sheetProtection selectLockedCells="1" selectUnlockedCells="1"/>
  <mergeCells count="1">
    <mergeCell ref="A1:C1"/>
  </mergeCells>
  <printOptions horizontalCentered="1"/>
  <pageMargins left="0.19685039370078741" right="0.19685039370078741" top="1.299212598425197" bottom="0.55118110236220474" header="0.35433070866141736" footer="0.23622047244094491"/>
  <pageSetup paperSize="9" firstPageNumber="115" orientation="portrait" r:id="rId1"/>
  <headerFooter alignWithMargins="0">
    <oddHeader>&amp;C&amp;"Times New Roman,Félkövér"&amp;14Vecsés Város Önkormányzat 2013. évi
 tervezett felhalmozási céltartaléka&amp;R&amp;12 7.2. sz. melléklet
Ezer Ft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view="pageBreakPreview" topLeftCell="A4" zoomScaleNormal="110" zoomScaleSheetLayoutView="100" workbookViewId="0">
      <selection activeCell="I10" sqref="I10"/>
    </sheetView>
  </sheetViews>
  <sheetFormatPr defaultRowHeight="15.75"/>
  <cols>
    <col min="1" max="1" width="6.83203125" style="86" customWidth="1"/>
    <col min="2" max="2" width="45.33203125" style="87" customWidth="1"/>
    <col min="3" max="3" width="12.83203125" style="86" bestFit="1" customWidth="1"/>
    <col min="4" max="4" width="13.1640625" style="86" customWidth="1"/>
    <col min="5" max="5" width="12.33203125" style="86" customWidth="1"/>
    <col min="6" max="6" width="45.33203125" style="86" customWidth="1"/>
    <col min="7" max="7" width="13" style="86" customWidth="1"/>
    <col min="8" max="8" width="13.33203125" style="86" customWidth="1"/>
    <col min="9" max="9" width="12.6640625" style="86" customWidth="1"/>
    <col min="10" max="10" width="14" style="86" customWidth="1"/>
    <col min="11" max="12" width="9.83203125" style="436" bestFit="1" customWidth="1"/>
    <col min="13" max="16384" width="9.33203125" style="86"/>
  </cols>
  <sheetData>
    <row r="1" spans="1:13" ht="39.75" customHeight="1">
      <c r="A1" s="1809" t="s">
        <v>241</v>
      </c>
      <c r="B1" s="1809"/>
      <c r="C1" s="1809"/>
      <c r="D1" s="1809"/>
      <c r="E1" s="1809"/>
      <c r="F1" s="1809"/>
      <c r="G1" s="1809"/>
      <c r="H1" s="1809"/>
      <c r="I1" s="1809"/>
      <c r="J1" s="1806"/>
    </row>
    <row r="2" spans="1:13" ht="16.5" customHeight="1" thickBot="1">
      <c r="G2" s="1807" t="s">
        <v>242</v>
      </c>
      <c r="H2" s="1807"/>
      <c r="I2" s="1807"/>
      <c r="J2" s="1806"/>
    </row>
    <row r="3" spans="1:13" ht="24" customHeight="1">
      <c r="A3" s="1808" t="s">
        <v>195</v>
      </c>
      <c r="B3" s="1808" t="s">
        <v>196</v>
      </c>
      <c r="C3" s="1808"/>
      <c r="D3" s="1808"/>
      <c r="E3" s="1808"/>
      <c r="F3" s="1808" t="s">
        <v>197</v>
      </c>
      <c r="G3" s="1808"/>
      <c r="H3" s="1808"/>
      <c r="I3" s="1808"/>
      <c r="J3" s="1806"/>
    </row>
    <row r="4" spans="1:13" s="92" customFormat="1" ht="42" customHeight="1">
      <c r="A4" s="1808"/>
      <c r="B4" s="89" t="s">
        <v>198</v>
      </c>
      <c r="C4" s="90" t="s">
        <v>1267</v>
      </c>
      <c r="D4" s="90" t="s">
        <v>1796</v>
      </c>
      <c r="E4" s="90" t="s">
        <v>1808</v>
      </c>
      <c r="F4" s="89" t="s">
        <v>198</v>
      </c>
      <c r="G4" s="90" t="s">
        <v>1267</v>
      </c>
      <c r="H4" s="90" t="s">
        <v>1796</v>
      </c>
      <c r="I4" s="90" t="s">
        <v>1808</v>
      </c>
      <c r="J4" s="1806"/>
      <c r="K4" s="1209"/>
      <c r="L4" s="1209"/>
    </row>
    <row r="5" spans="1:13" s="92" customFormat="1" ht="15" customHeight="1">
      <c r="A5" s="88">
        <v>1</v>
      </c>
      <c r="B5" s="89">
        <v>2</v>
      </c>
      <c r="C5" s="90">
        <v>3</v>
      </c>
      <c r="D5" s="90">
        <v>9</v>
      </c>
      <c r="E5" s="90">
        <v>5</v>
      </c>
      <c r="F5" s="89">
        <v>6</v>
      </c>
      <c r="G5" s="91">
        <v>7</v>
      </c>
      <c r="H5" s="91">
        <v>8</v>
      </c>
      <c r="I5" s="91">
        <v>9</v>
      </c>
      <c r="J5" s="1806"/>
      <c r="K5" s="1209"/>
      <c r="L5" s="1209"/>
    </row>
    <row r="6" spans="1:13" ht="15" customHeight="1">
      <c r="A6" s="138" t="s">
        <v>4</v>
      </c>
      <c r="B6" s="95" t="s">
        <v>243</v>
      </c>
      <c r="C6" s="96">
        <f>SUM('2. sz. mell '!D47)</f>
        <v>200000</v>
      </c>
      <c r="D6" s="96">
        <f>SUM('2. sz. mell '!E47)</f>
        <v>3014</v>
      </c>
      <c r="E6" s="96">
        <f>SUM('2. sz. mell '!F47)</f>
        <v>3014</v>
      </c>
      <c r="F6" s="95" t="s">
        <v>133</v>
      </c>
      <c r="G6" s="97">
        <f>SUM('2. sz. mell '!D105)</f>
        <v>116000</v>
      </c>
      <c r="H6" s="97">
        <f>SUM('2. sz. mell '!E105)</f>
        <v>765380</v>
      </c>
      <c r="I6" s="97">
        <f>SUM('2. sz. mell '!F105)</f>
        <v>545922</v>
      </c>
      <c r="J6" s="1806"/>
      <c r="K6" s="436">
        <f>SUM(H6:H7)</f>
        <v>795644</v>
      </c>
      <c r="L6" s="436">
        <f>SUM(I6:I7)</f>
        <v>575633</v>
      </c>
      <c r="M6" s="86">
        <f>SUM(L6/K6)*100</f>
        <v>72.348060187722155</v>
      </c>
    </row>
    <row r="7" spans="1:13" ht="15" customHeight="1">
      <c r="A7" s="139" t="s">
        <v>5</v>
      </c>
      <c r="B7" s="99" t="s">
        <v>244</v>
      </c>
      <c r="C7" s="100"/>
      <c r="D7" s="100"/>
      <c r="E7" s="100"/>
      <c r="F7" s="99" t="s">
        <v>134</v>
      </c>
      <c r="G7" s="102">
        <f>SUM('2. sz. mell '!D106)</f>
        <v>25000</v>
      </c>
      <c r="H7" s="102">
        <f>SUM('2. sz. mell '!E106)</f>
        <v>30264</v>
      </c>
      <c r="I7" s="102">
        <f>SUM('2. sz. mell '!F106)</f>
        <v>29711</v>
      </c>
      <c r="J7" s="1806"/>
    </row>
    <row r="8" spans="1:13" ht="15" customHeight="1">
      <c r="A8" s="139" t="s">
        <v>19</v>
      </c>
      <c r="B8" s="99" t="s">
        <v>73</v>
      </c>
      <c r="C8" s="100">
        <f>SUM('2. sz. mell '!D50)</f>
        <v>0</v>
      </c>
      <c r="D8" s="100">
        <f>SUM('2. sz. mell '!E50)+'2. sz. mell '!E49</f>
        <v>6136</v>
      </c>
      <c r="E8" s="100">
        <f>SUM('2. sz. mell '!F50)+'2. sz. mell '!F49</f>
        <v>52231</v>
      </c>
      <c r="F8" s="99" t="s">
        <v>135</v>
      </c>
      <c r="G8" s="102"/>
      <c r="H8" s="102"/>
      <c r="I8" s="102"/>
      <c r="J8" s="1806"/>
    </row>
    <row r="9" spans="1:13" ht="15" customHeight="1">
      <c r="A9" s="139" t="s">
        <v>149</v>
      </c>
      <c r="B9" s="99" t="s">
        <v>45</v>
      </c>
      <c r="C9" s="100"/>
      <c r="D9" s="100"/>
      <c r="E9" s="100"/>
      <c r="F9" s="99" t="s">
        <v>136</v>
      </c>
      <c r="G9" s="102"/>
      <c r="H9" s="102"/>
      <c r="I9" s="102"/>
      <c r="J9" s="1806"/>
    </row>
    <row r="10" spans="1:13" ht="30.75" customHeight="1">
      <c r="A10" s="139" t="s">
        <v>38</v>
      </c>
      <c r="B10" s="99" t="s">
        <v>245</v>
      </c>
      <c r="C10" s="100"/>
      <c r="D10" s="100"/>
      <c r="E10" s="100"/>
      <c r="F10" s="99" t="s">
        <v>246</v>
      </c>
      <c r="G10" s="102"/>
      <c r="H10" s="102"/>
      <c r="I10" s="102"/>
      <c r="J10" s="1806"/>
    </row>
    <row r="11" spans="1:13" ht="31.5" customHeight="1">
      <c r="A11" s="139" t="s">
        <v>48</v>
      </c>
      <c r="B11" s="99" t="s">
        <v>247</v>
      </c>
      <c r="C11" s="103"/>
      <c r="D11" s="103"/>
      <c r="E11" s="103"/>
      <c r="F11" s="99" t="s">
        <v>248</v>
      </c>
      <c r="G11" s="102"/>
      <c r="H11" s="102"/>
      <c r="I11" s="102"/>
      <c r="J11" s="1806"/>
    </row>
    <row r="12" spans="1:13" ht="15" customHeight="1">
      <c r="A12" s="139" t="s">
        <v>178</v>
      </c>
      <c r="B12" s="99" t="s">
        <v>1523</v>
      </c>
      <c r="C12" s="100">
        <f>SUM('2. sz. mell '!D37)</f>
        <v>157195</v>
      </c>
      <c r="D12" s="100">
        <f>SUM('2. sz. mell '!E37)+'2. sz. mell '!E52</f>
        <v>942</v>
      </c>
      <c r="E12" s="100">
        <f>SUM('2. sz. mell '!F37)+'2. sz. mell '!F52</f>
        <v>942</v>
      </c>
      <c r="F12" s="99" t="s">
        <v>139</v>
      </c>
      <c r="G12" s="102">
        <f>SUM('2. sz. mell '!D111)</f>
        <v>105932</v>
      </c>
      <c r="H12" s="102">
        <f>SUM('2. sz. mell '!E111)</f>
        <v>55917</v>
      </c>
      <c r="I12" s="102">
        <f>SUM('2. sz. mell '!F111)</f>
        <v>26523</v>
      </c>
      <c r="J12" s="1806"/>
    </row>
    <row r="13" spans="1:13" ht="30" customHeight="1">
      <c r="A13" s="139" t="s">
        <v>74</v>
      </c>
      <c r="B13" s="99" t="s">
        <v>249</v>
      </c>
      <c r="C13" s="100">
        <f>SUM('2. sz. mell '!D51)</f>
        <v>500</v>
      </c>
      <c r="D13" s="100">
        <f>SUM('2. sz. mell '!E53)</f>
        <v>448926</v>
      </c>
      <c r="E13" s="100">
        <f>SUM('2. sz. mell '!F53)</f>
        <v>453574</v>
      </c>
      <c r="F13" s="99" t="s">
        <v>202</v>
      </c>
      <c r="G13" s="102">
        <f>SUM('2. sz. mell '!D101)</f>
        <v>95000</v>
      </c>
      <c r="H13" s="102">
        <f>SUM('2. sz. mell '!E101)</f>
        <v>249413</v>
      </c>
      <c r="I13" s="102">
        <f>SUM('2. sz. mell '!F98)</f>
        <v>0</v>
      </c>
      <c r="J13" s="1806"/>
    </row>
    <row r="14" spans="1:13" ht="15" customHeight="1">
      <c r="A14" s="139" t="s">
        <v>205</v>
      </c>
      <c r="B14" s="99" t="s">
        <v>250</v>
      </c>
      <c r="C14" s="103"/>
      <c r="D14" s="103"/>
      <c r="E14" s="103"/>
      <c r="F14" s="99" t="s">
        <v>1818</v>
      </c>
      <c r="G14" s="102"/>
      <c r="H14" s="102">
        <f>SUM('2. sz. mell '!E116)</f>
        <v>8003</v>
      </c>
      <c r="I14" s="102">
        <f>SUM('2. sz. mell '!F116)</f>
        <v>550</v>
      </c>
      <c r="J14" s="1806"/>
    </row>
    <row r="15" spans="1:13" ht="15" customHeight="1">
      <c r="A15" s="139" t="s">
        <v>79</v>
      </c>
      <c r="B15" s="99" t="s">
        <v>89</v>
      </c>
      <c r="C15" s="102">
        <f>SUM('2. sz. mell '!D54)</f>
        <v>500</v>
      </c>
      <c r="D15" s="102">
        <f>SUM('2. sz. mell '!E54)</f>
        <v>509</v>
      </c>
      <c r="E15" s="102">
        <f>SUM('2. sz. mell '!F54)</f>
        <v>3310</v>
      </c>
      <c r="F15" s="99" t="s">
        <v>1218</v>
      </c>
      <c r="G15" s="102"/>
      <c r="H15" s="102"/>
      <c r="I15" s="102"/>
      <c r="J15" s="1806"/>
    </row>
    <row r="16" spans="1:13" ht="15" customHeight="1">
      <c r="A16" s="140" t="s">
        <v>80</v>
      </c>
      <c r="B16" s="108" t="s">
        <v>207</v>
      </c>
      <c r="C16" s="109">
        <f>SUM(C6:C15)</f>
        <v>358195</v>
      </c>
      <c r="D16" s="109">
        <f>SUM(D6:D15)</f>
        <v>459527</v>
      </c>
      <c r="E16" s="109">
        <f>SUM(E6:E15)</f>
        <v>513071</v>
      </c>
      <c r="F16" s="108" t="s">
        <v>208</v>
      </c>
      <c r="G16" s="111">
        <f>SUM(G6:G14)-G15</f>
        <v>341932</v>
      </c>
      <c r="H16" s="111">
        <f>SUM(H6:H14)-H15</f>
        <v>1108977</v>
      </c>
      <c r="I16" s="111">
        <f>SUM(I6:I14)-I15</f>
        <v>602706</v>
      </c>
      <c r="J16" s="1806"/>
    </row>
    <row r="17" spans="1:10" ht="15" customHeight="1">
      <c r="A17" s="141" t="s">
        <v>85</v>
      </c>
      <c r="B17" s="113" t="s">
        <v>251</v>
      </c>
      <c r="C17" s="142">
        <f>'2. sz. mell '!D72</f>
        <v>0</v>
      </c>
      <c r="D17" s="142">
        <f>'2. sz. mell '!E72</f>
        <v>407700</v>
      </c>
      <c r="E17" s="142">
        <f>'2. sz. mell '!F72</f>
        <v>407700</v>
      </c>
      <c r="F17" s="99" t="s">
        <v>160</v>
      </c>
      <c r="G17" s="126"/>
      <c r="H17" s="126"/>
      <c r="I17" s="126"/>
      <c r="J17" s="1806"/>
    </row>
    <row r="18" spans="1:10" ht="15" customHeight="1">
      <c r="A18" s="139" t="s">
        <v>98</v>
      </c>
      <c r="B18" s="99" t="s">
        <v>87</v>
      </c>
      <c r="C18" s="734"/>
      <c r="D18" s="734"/>
      <c r="E18" s="734"/>
      <c r="F18" s="99" t="s">
        <v>252</v>
      </c>
      <c r="G18" s="119">
        <f>SUM('2. sz. mell '!D121)</f>
        <v>64000</v>
      </c>
      <c r="H18" s="119">
        <f>SUM('2. sz. mell '!E121)</f>
        <v>64848</v>
      </c>
      <c r="I18" s="119">
        <f>SUM('2. sz. mell '!F121)</f>
        <v>55237</v>
      </c>
      <c r="J18" s="1806"/>
    </row>
    <row r="19" spans="1:10" ht="15" customHeight="1">
      <c r="A19" s="139" t="s">
        <v>99</v>
      </c>
      <c r="B19" s="99" t="s">
        <v>94</v>
      </c>
      <c r="C19" s="734"/>
      <c r="D19" s="734"/>
      <c r="E19" s="734"/>
      <c r="F19" s="99" t="s">
        <v>162</v>
      </c>
      <c r="G19" s="119"/>
      <c r="H19" s="119"/>
      <c r="I19" s="119"/>
      <c r="J19" s="1806"/>
    </row>
    <row r="20" spans="1:10" ht="15" customHeight="1">
      <c r="A20" s="139" t="s">
        <v>210</v>
      </c>
      <c r="B20" s="99" t="s">
        <v>95</v>
      </c>
      <c r="C20" s="734"/>
      <c r="D20" s="734"/>
      <c r="E20" s="734"/>
      <c r="F20" s="99" t="s">
        <v>163</v>
      </c>
      <c r="G20" s="119"/>
      <c r="H20" s="119"/>
      <c r="I20" s="119"/>
      <c r="J20" s="1806"/>
    </row>
    <row r="21" spans="1:10" ht="30" customHeight="1">
      <c r="A21" s="139" t="s">
        <v>212</v>
      </c>
      <c r="B21" s="121" t="s">
        <v>253</v>
      </c>
      <c r="C21" s="734"/>
      <c r="D21" s="734"/>
      <c r="E21" s="734"/>
      <c r="F21" s="121" t="s">
        <v>164</v>
      </c>
      <c r="G21" s="119"/>
      <c r="H21" s="119"/>
      <c r="I21" s="119"/>
      <c r="J21" s="1806"/>
    </row>
    <row r="22" spans="1:10" ht="30.75" customHeight="1">
      <c r="A22" s="139" t="s">
        <v>214</v>
      </c>
      <c r="B22" s="99" t="s">
        <v>91</v>
      </c>
      <c r="C22" s="734"/>
      <c r="D22" s="734"/>
      <c r="E22" s="734"/>
      <c r="F22" s="99" t="s">
        <v>173</v>
      </c>
      <c r="G22" s="119"/>
      <c r="H22" s="119"/>
      <c r="I22" s="119"/>
      <c r="J22" s="1806"/>
    </row>
    <row r="23" spans="1:10" ht="15" customHeight="1">
      <c r="A23" s="139" t="s">
        <v>215</v>
      </c>
      <c r="B23" s="95" t="s">
        <v>97</v>
      </c>
      <c r="C23" s="734"/>
      <c r="D23" s="734"/>
      <c r="E23" s="734"/>
      <c r="F23" s="95" t="s">
        <v>167</v>
      </c>
      <c r="G23" s="119"/>
      <c r="H23" s="119"/>
      <c r="I23" s="119"/>
      <c r="J23" s="1806"/>
    </row>
    <row r="24" spans="1:10" ht="15" customHeight="1">
      <c r="A24" s="139" t="s">
        <v>217</v>
      </c>
      <c r="B24" s="124"/>
      <c r="C24" s="734"/>
      <c r="D24" s="734"/>
      <c r="E24" s="734"/>
      <c r="F24" s="99" t="s">
        <v>176</v>
      </c>
      <c r="G24" s="119">
        <f>SUM('2. sz. mell '!D116)</f>
        <v>0</v>
      </c>
      <c r="H24" s="119"/>
      <c r="I24" s="119"/>
      <c r="J24" s="1806"/>
    </row>
    <row r="25" spans="1:10" ht="15" customHeight="1" thickBot="1">
      <c r="A25" s="139" t="s">
        <v>219</v>
      </c>
      <c r="B25" s="104"/>
      <c r="C25" s="734"/>
      <c r="D25" s="734"/>
      <c r="E25" s="734"/>
      <c r="F25" s="95"/>
      <c r="G25" s="119"/>
      <c r="H25" s="119"/>
      <c r="I25" s="119"/>
      <c r="J25" s="1806"/>
    </row>
    <row r="26" spans="1:10" ht="15.95" customHeight="1" thickBot="1">
      <c r="A26" s="140" t="s">
        <v>222</v>
      </c>
      <c r="B26" s="108" t="s">
        <v>1831</v>
      </c>
      <c r="C26" s="733">
        <f>SUM(C17:C25)</f>
        <v>0</v>
      </c>
      <c r="D26" s="733">
        <f>SUM(D17:D25)</f>
        <v>407700</v>
      </c>
      <c r="E26" s="733">
        <f>SUM(E17:E25)</f>
        <v>407700</v>
      </c>
      <c r="F26" s="108" t="s">
        <v>254</v>
      </c>
      <c r="G26" s="143">
        <f>SUM(G17:G25)</f>
        <v>64000</v>
      </c>
      <c r="H26" s="143">
        <f>SUM(H17:H25)</f>
        <v>64848</v>
      </c>
      <c r="I26" s="111">
        <f>SUM(I17:I25)</f>
        <v>55237</v>
      </c>
      <c r="J26" s="1806"/>
    </row>
    <row r="27" spans="1:10" ht="15.95" customHeight="1" thickBot="1">
      <c r="A27" s="140" t="s">
        <v>224</v>
      </c>
      <c r="B27" s="108" t="s">
        <v>1182</v>
      </c>
      <c r="C27" s="733">
        <f>SUM('2. sz. mell '!D77)</f>
        <v>0</v>
      </c>
      <c r="D27" s="733">
        <f>SUM('2. sz. mell '!E77)</f>
        <v>0</v>
      </c>
      <c r="E27" s="109">
        <f>SUM('2. sz. mell '!F77)</f>
        <v>-4003</v>
      </c>
      <c r="F27" s="108" t="s">
        <v>1183</v>
      </c>
      <c r="G27" s="143"/>
      <c r="H27" s="143"/>
      <c r="I27" s="111">
        <f>SUM('2. sz. mell '!F123)</f>
        <v>33951</v>
      </c>
      <c r="J27" s="1806"/>
    </row>
    <row r="28" spans="1:10" ht="18" customHeight="1" thickBot="1">
      <c r="A28" s="144" t="s">
        <v>224</v>
      </c>
      <c r="B28" s="128" t="s">
        <v>1836</v>
      </c>
      <c r="C28" s="145">
        <f>+C16+C26</f>
        <v>358195</v>
      </c>
      <c r="D28" s="145">
        <f>+D16+D26</f>
        <v>867227</v>
      </c>
      <c r="E28" s="145">
        <f>+E16+E26+E27</f>
        <v>916768</v>
      </c>
      <c r="F28" s="128" t="s">
        <v>255</v>
      </c>
      <c r="G28" s="146">
        <f>+G16+G26</f>
        <v>405932</v>
      </c>
      <c r="H28" s="146">
        <f>+H16+H26</f>
        <v>1173825</v>
      </c>
      <c r="I28" s="146">
        <f>+I16+I26+I27</f>
        <v>691894</v>
      </c>
      <c r="J28" s="1806"/>
    </row>
    <row r="29" spans="1:10" ht="18" customHeight="1">
      <c r="A29" s="144" t="s">
        <v>225</v>
      </c>
      <c r="B29" s="147" t="s">
        <v>230</v>
      </c>
      <c r="C29" s="148" t="str">
        <f>IF(((G16-C16)&gt;0),G16-C16,"----")</f>
        <v>----</v>
      </c>
      <c r="D29" s="148">
        <f>IF(((H16-D16)&gt;0),H16-D16,"----")</f>
        <v>649450</v>
      </c>
      <c r="E29" s="148">
        <f>IF(((I16-E16)&gt;0),I16-E16,"----")</f>
        <v>89635</v>
      </c>
      <c r="F29" s="147" t="s">
        <v>231</v>
      </c>
      <c r="G29" s="149">
        <f>IF(((C16-G16)&gt;0),C16-G16,"----")</f>
        <v>16263</v>
      </c>
      <c r="H29" s="149" t="str">
        <f>IF(((D16-H16)&gt;0),D16-H16,"----")</f>
        <v>----</v>
      </c>
      <c r="I29" s="149" t="str">
        <f>IF(((E16-I16)&gt;0),E16-I16,"----")</f>
        <v>----</v>
      </c>
      <c r="J29" s="1806"/>
    </row>
    <row r="30" spans="1:10">
      <c r="J30" s="150"/>
    </row>
    <row r="31" spans="1:10">
      <c r="J31" s="150"/>
    </row>
    <row r="32" spans="1:10">
      <c r="B32" s="133"/>
      <c r="J32" s="150"/>
    </row>
    <row r="33" spans="2:5">
      <c r="B33" s="1210" t="s">
        <v>1909</v>
      </c>
      <c r="C33" s="436">
        <v>358195</v>
      </c>
      <c r="D33" s="436">
        <v>1683325</v>
      </c>
      <c r="E33" s="436">
        <v>1661037</v>
      </c>
    </row>
    <row r="35" spans="2:5">
      <c r="B35" s="1217" t="s">
        <v>1910</v>
      </c>
      <c r="C35" s="1218">
        <f>SUM(C33-C16)</f>
        <v>0</v>
      </c>
      <c r="D35" s="1218">
        <f t="shared" ref="D35:E35" si="0">SUM(D33-D16)</f>
        <v>1223798</v>
      </c>
      <c r="E35" s="1218">
        <f t="shared" si="0"/>
        <v>1147966</v>
      </c>
    </row>
  </sheetData>
  <sheetProtection selectLockedCells="1" selectUnlockedCells="1"/>
  <mergeCells count="6">
    <mergeCell ref="J1:J29"/>
    <mergeCell ref="G2:I2"/>
    <mergeCell ref="A3:A4"/>
    <mergeCell ref="B3:E3"/>
    <mergeCell ref="F3:I3"/>
    <mergeCell ref="A1:I1"/>
  </mergeCells>
  <printOptions horizontalCentered="1"/>
  <pageMargins left="0.23622047244094491" right="0.15748031496062992" top="0.47244094488188981" bottom="0.43307086614173229" header="0.19685039370078741" footer="0.19685039370078741"/>
  <pageSetup paperSize="9" scale="90" firstPageNumber="33" orientation="landscape" r:id="rId1"/>
  <headerFooter alignWithMargins="0">
    <oddHeader>&amp;R&amp;"Times New Roman ,Normál"&amp;12 1.2. sz. melléklet</oddHeader>
    <oddFooter>&amp;C- &amp;P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zoomScaleNormal="120" zoomScaleSheetLayoutView="100" workbookViewId="0">
      <selection activeCell="E19" sqref="E19"/>
    </sheetView>
  </sheetViews>
  <sheetFormatPr defaultRowHeight="15"/>
  <cols>
    <col min="1" max="1" width="7.33203125" style="1596" customWidth="1"/>
    <col min="2" max="2" width="46.6640625" style="1596" customWidth="1"/>
    <col min="3" max="3" width="16" style="1596" customWidth="1"/>
    <col min="4" max="4" width="15.83203125" style="1596" customWidth="1"/>
    <col min="5" max="5" width="17.33203125" style="1596" customWidth="1"/>
    <col min="6" max="6" width="16.83203125" style="1596" customWidth="1"/>
    <col min="7" max="7" width="18.83203125" style="1596" customWidth="1"/>
    <col min="8" max="256" width="9.33203125" style="1596"/>
    <col min="257" max="257" width="7.33203125" style="1596" customWidth="1"/>
    <col min="258" max="258" width="46.6640625" style="1596" customWidth="1"/>
    <col min="259" max="259" width="16" style="1596" customWidth="1"/>
    <col min="260" max="260" width="15.83203125" style="1596" customWidth="1"/>
    <col min="261" max="261" width="17.33203125" style="1596" customWidth="1"/>
    <col min="262" max="262" width="16.83203125" style="1596" customWidth="1"/>
    <col min="263" max="263" width="18.83203125" style="1596" customWidth="1"/>
    <col min="264" max="512" width="9.33203125" style="1596"/>
    <col min="513" max="513" width="7.33203125" style="1596" customWidth="1"/>
    <col min="514" max="514" width="46.6640625" style="1596" customWidth="1"/>
    <col min="515" max="515" width="16" style="1596" customWidth="1"/>
    <col min="516" max="516" width="15.83203125" style="1596" customWidth="1"/>
    <col min="517" max="517" width="17.33203125" style="1596" customWidth="1"/>
    <col min="518" max="518" width="16.83203125" style="1596" customWidth="1"/>
    <col min="519" max="519" width="18.83203125" style="1596" customWidth="1"/>
    <col min="520" max="768" width="9.33203125" style="1596"/>
    <col min="769" max="769" width="7.33203125" style="1596" customWidth="1"/>
    <col min="770" max="770" width="46.6640625" style="1596" customWidth="1"/>
    <col min="771" max="771" width="16" style="1596" customWidth="1"/>
    <col min="772" max="772" width="15.83203125" style="1596" customWidth="1"/>
    <col min="773" max="773" width="17.33203125" style="1596" customWidth="1"/>
    <col min="774" max="774" width="16.83203125" style="1596" customWidth="1"/>
    <col min="775" max="775" width="18.83203125" style="1596" customWidth="1"/>
    <col min="776" max="1024" width="9.33203125" style="1596"/>
    <col min="1025" max="1025" width="7.33203125" style="1596" customWidth="1"/>
    <col min="1026" max="1026" width="46.6640625" style="1596" customWidth="1"/>
    <col min="1027" max="1027" width="16" style="1596" customWidth="1"/>
    <col min="1028" max="1028" width="15.83203125" style="1596" customWidth="1"/>
    <col min="1029" max="1029" width="17.33203125" style="1596" customWidth="1"/>
    <col min="1030" max="1030" width="16.83203125" style="1596" customWidth="1"/>
    <col min="1031" max="1031" width="18.83203125" style="1596" customWidth="1"/>
    <col min="1032" max="1280" width="9.33203125" style="1596"/>
    <col min="1281" max="1281" width="7.33203125" style="1596" customWidth="1"/>
    <col min="1282" max="1282" width="46.6640625" style="1596" customWidth="1"/>
    <col min="1283" max="1283" width="16" style="1596" customWidth="1"/>
    <col min="1284" max="1284" width="15.83203125" style="1596" customWidth="1"/>
    <col min="1285" max="1285" width="17.33203125" style="1596" customWidth="1"/>
    <col min="1286" max="1286" width="16.83203125" style="1596" customWidth="1"/>
    <col min="1287" max="1287" width="18.83203125" style="1596" customWidth="1"/>
    <col min="1288" max="1536" width="9.33203125" style="1596"/>
    <col min="1537" max="1537" width="7.33203125" style="1596" customWidth="1"/>
    <col min="1538" max="1538" width="46.6640625" style="1596" customWidth="1"/>
    <col min="1539" max="1539" width="16" style="1596" customWidth="1"/>
    <col min="1540" max="1540" width="15.83203125" style="1596" customWidth="1"/>
    <col min="1541" max="1541" width="17.33203125" style="1596" customWidth="1"/>
    <col min="1542" max="1542" width="16.83203125" style="1596" customWidth="1"/>
    <col min="1543" max="1543" width="18.83203125" style="1596" customWidth="1"/>
    <col min="1544" max="1792" width="9.33203125" style="1596"/>
    <col min="1793" max="1793" width="7.33203125" style="1596" customWidth="1"/>
    <col min="1794" max="1794" width="46.6640625" style="1596" customWidth="1"/>
    <col min="1795" max="1795" width="16" style="1596" customWidth="1"/>
    <col min="1796" max="1796" width="15.83203125" style="1596" customWidth="1"/>
    <col min="1797" max="1797" width="17.33203125" style="1596" customWidth="1"/>
    <col min="1798" max="1798" width="16.83203125" style="1596" customWidth="1"/>
    <col min="1799" max="1799" width="18.83203125" style="1596" customWidth="1"/>
    <col min="1800" max="2048" width="9.33203125" style="1596"/>
    <col min="2049" max="2049" width="7.33203125" style="1596" customWidth="1"/>
    <col min="2050" max="2050" width="46.6640625" style="1596" customWidth="1"/>
    <col min="2051" max="2051" width="16" style="1596" customWidth="1"/>
    <col min="2052" max="2052" width="15.83203125" style="1596" customWidth="1"/>
    <col min="2053" max="2053" width="17.33203125" style="1596" customWidth="1"/>
    <col min="2054" max="2054" width="16.83203125" style="1596" customWidth="1"/>
    <col min="2055" max="2055" width="18.83203125" style="1596" customWidth="1"/>
    <col min="2056" max="2304" width="9.33203125" style="1596"/>
    <col min="2305" max="2305" width="7.33203125" style="1596" customWidth="1"/>
    <col min="2306" max="2306" width="46.6640625" style="1596" customWidth="1"/>
    <col min="2307" max="2307" width="16" style="1596" customWidth="1"/>
    <col min="2308" max="2308" width="15.83203125" style="1596" customWidth="1"/>
    <col min="2309" max="2309" width="17.33203125" style="1596" customWidth="1"/>
    <col min="2310" max="2310" width="16.83203125" style="1596" customWidth="1"/>
    <col min="2311" max="2311" width="18.83203125" style="1596" customWidth="1"/>
    <col min="2312" max="2560" width="9.33203125" style="1596"/>
    <col min="2561" max="2561" width="7.33203125" style="1596" customWidth="1"/>
    <col min="2562" max="2562" width="46.6640625" style="1596" customWidth="1"/>
    <col min="2563" max="2563" width="16" style="1596" customWidth="1"/>
    <col min="2564" max="2564" width="15.83203125" style="1596" customWidth="1"/>
    <col min="2565" max="2565" width="17.33203125" style="1596" customWidth="1"/>
    <col min="2566" max="2566" width="16.83203125" style="1596" customWidth="1"/>
    <col min="2567" max="2567" width="18.83203125" style="1596" customWidth="1"/>
    <col min="2568" max="2816" width="9.33203125" style="1596"/>
    <col min="2817" max="2817" width="7.33203125" style="1596" customWidth="1"/>
    <col min="2818" max="2818" width="46.6640625" style="1596" customWidth="1"/>
    <col min="2819" max="2819" width="16" style="1596" customWidth="1"/>
    <col min="2820" max="2820" width="15.83203125" style="1596" customWidth="1"/>
    <col min="2821" max="2821" width="17.33203125" style="1596" customWidth="1"/>
    <col min="2822" max="2822" width="16.83203125" style="1596" customWidth="1"/>
    <col min="2823" max="2823" width="18.83203125" style="1596" customWidth="1"/>
    <col min="2824" max="3072" width="9.33203125" style="1596"/>
    <col min="3073" max="3073" width="7.33203125" style="1596" customWidth="1"/>
    <col min="3074" max="3074" width="46.6640625" style="1596" customWidth="1"/>
    <col min="3075" max="3075" width="16" style="1596" customWidth="1"/>
    <col min="3076" max="3076" width="15.83203125" style="1596" customWidth="1"/>
    <col min="3077" max="3077" width="17.33203125" style="1596" customWidth="1"/>
    <col min="3078" max="3078" width="16.83203125" style="1596" customWidth="1"/>
    <col min="3079" max="3079" width="18.83203125" style="1596" customWidth="1"/>
    <col min="3080" max="3328" width="9.33203125" style="1596"/>
    <col min="3329" max="3329" width="7.33203125" style="1596" customWidth="1"/>
    <col min="3330" max="3330" width="46.6640625" style="1596" customWidth="1"/>
    <col min="3331" max="3331" width="16" style="1596" customWidth="1"/>
    <col min="3332" max="3332" width="15.83203125" style="1596" customWidth="1"/>
    <col min="3333" max="3333" width="17.33203125" style="1596" customWidth="1"/>
    <col min="3334" max="3334" width="16.83203125" style="1596" customWidth="1"/>
    <col min="3335" max="3335" width="18.83203125" style="1596" customWidth="1"/>
    <col min="3336" max="3584" width="9.33203125" style="1596"/>
    <col min="3585" max="3585" width="7.33203125" style="1596" customWidth="1"/>
    <col min="3586" max="3586" width="46.6640625" style="1596" customWidth="1"/>
    <col min="3587" max="3587" width="16" style="1596" customWidth="1"/>
    <col min="3588" max="3588" width="15.83203125" style="1596" customWidth="1"/>
    <col min="3589" max="3589" width="17.33203125" style="1596" customWidth="1"/>
    <col min="3590" max="3590" width="16.83203125" style="1596" customWidth="1"/>
    <col min="3591" max="3591" width="18.83203125" style="1596" customWidth="1"/>
    <col min="3592" max="3840" width="9.33203125" style="1596"/>
    <col min="3841" max="3841" width="7.33203125" style="1596" customWidth="1"/>
    <col min="3842" max="3842" width="46.6640625" style="1596" customWidth="1"/>
    <col min="3843" max="3843" width="16" style="1596" customWidth="1"/>
    <col min="3844" max="3844" width="15.83203125" style="1596" customWidth="1"/>
    <col min="3845" max="3845" width="17.33203125" style="1596" customWidth="1"/>
    <col min="3846" max="3846" width="16.83203125" style="1596" customWidth="1"/>
    <col min="3847" max="3847" width="18.83203125" style="1596" customWidth="1"/>
    <col min="3848" max="4096" width="9.33203125" style="1596"/>
    <col min="4097" max="4097" width="7.33203125" style="1596" customWidth="1"/>
    <col min="4098" max="4098" width="46.6640625" style="1596" customWidth="1"/>
    <col min="4099" max="4099" width="16" style="1596" customWidth="1"/>
    <col min="4100" max="4100" width="15.83203125" style="1596" customWidth="1"/>
    <col min="4101" max="4101" width="17.33203125" style="1596" customWidth="1"/>
    <col min="4102" max="4102" width="16.83203125" style="1596" customWidth="1"/>
    <col min="4103" max="4103" width="18.83203125" style="1596" customWidth="1"/>
    <col min="4104" max="4352" width="9.33203125" style="1596"/>
    <col min="4353" max="4353" width="7.33203125" style="1596" customWidth="1"/>
    <col min="4354" max="4354" width="46.6640625" style="1596" customWidth="1"/>
    <col min="4355" max="4355" width="16" style="1596" customWidth="1"/>
    <col min="4356" max="4356" width="15.83203125" style="1596" customWidth="1"/>
    <col min="4357" max="4357" width="17.33203125" style="1596" customWidth="1"/>
    <col min="4358" max="4358" width="16.83203125" style="1596" customWidth="1"/>
    <col min="4359" max="4359" width="18.83203125" style="1596" customWidth="1"/>
    <col min="4360" max="4608" width="9.33203125" style="1596"/>
    <col min="4609" max="4609" width="7.33203125" style="1596" customWidth="1"/>
    <col min="4610" max="4610" width="46.6640625" style="1596" customWidth="1"/>
    <col min="4611" max="4611" width="16" style="1596" customWidth="1"/>
    <col min="4612" max="4612" width="15.83203125" style="1596" customWidth="1"/>
    <col min="4613" max="4613" width="17.33203125" style="1596" customWidth="1"/>
    <col min="4614" max="4614" width="16.83203125" style="1596" customWidth="1"/>
    <col min="4615" max="4615" width="18.83203125" style="1596" customWidth="1"/>
    <col min="4616" max="4864" width="9.33203125" style="1596"/>
    <col min="4865" max="4865" width="7.33203125" style="1596" customWidth="1"/>
    <col min="4866" max="4866" width="46.6640625" style="1596" customWidth="1"/>
    <col min="4867" max="4867" width="16" style="1596" customWidth="1"/>
    <col min="4868" max="4868" width="15.83203125" style="1596" customWidth="1"/>
    <col min="4869" max="4869" width="17.33203125" style="1596" customWidth="1"/>
    <col min="4870" max="4870" width="16.83203125" style="1596" customWidth="1"/>
    <col min="4871" max="4871" width="18.83203125" style="1596" customWidth="1"/>
    <col min="4872" max="5120" width="9.33203125" style="1596"/>
    <col min="5121" max="5121" width="7.33203125" style="1596" customWidth="1"/>
    <col min="5122" max="5122" width="46.6640625" style="1596" customWidth="1"/>
    <col min="5123" max="5123" width="16" style="1596" customWidth="1"/>
    <col min="5124" max="5124" width="15.83203125" style="1596" customWidth="1"/>
    <col min="5125" max="5125" width="17.33203125" style="1596" customWidth="1"/>
    <col min="5126" max="5126" width="16.83203125" style="1596" customWidth="1"/>
    <col min="5127" max="5127" width="18.83203125" style="1596" customWidth="1"/>
    <col min="5128" max="5376" width="9.33203125" style="1596"/>
    <col min="5377" max="5377" width="7.33203125" style="1596" customWidth="1"/>
    <col min="5378" max="5378" width="46.6640625" style="1596" customWidth="1"/>
    <col min="5379" max="5379" width="16" style="1596" customWidth="1"/>
    <col min="5380" max="5380" width="15.83203125" style="1596" customWidth="1"/>
    <col min="5381" max="5381" width="17.33203125" style="1596" customWidth="1"/>
    <col min="5382" max="5382" width="16.83203125" style="1596" customWidth="1"/>
    <col min="5383" max="5383" width="18.83203125" style="1596" customWidth="1"/>
    <col min="5384" max="5632" width="9.33203125" style="1596"/>
    <col min="5633" max="5633" width="7.33203125" style="1596" customWidth="1"/>
    <col min="5634" max="5634" width="46.6640625" style="1596" customWidth="1"/>
    <col min="5635" max="5635" width="16" style="1596" customWidth="1"/>
    <col min="5636" max="5636" width="15.83203125" style="1596" customWidth="1"/>
    <col min="5637" max="5637" width="17.33203125" style="1596" customWidth="1"/>
    <col min="5638" max="5638" width="16.83203125" style="1596" customWidth="1"/>
    <col min="5639" max="5639" width="18.83203125" style="1596" customWidth="1"/>
    <col min="5640" max="5888" width="9.33203125" style="1596"/>
    <col min="5889" max="5889" width="7.33203125" style="1596" customWidth="1"/>
    <col min="5890" max="5890" width="46.6640625" style="1596" customWidth="1"/>
    <col min="5891" max="5891" width="16" style="1596" customWidth="1"/>
    <col min="5892" max="5892" width="15.83203125" style="1596" customWidth="1"/>
    <col min="5893" max="5893" width="17.33203125" style="1596" customWidth="1"/>
    <col min="5894" max="5894" width="16.83203125" style="1596" customWidth="1"/>
    <col min="5895" max="5895" width="18.83203125" style="1596" customWidth="1"/>
    <col min="5896" max="6144" width="9.33203125" style="1596"/>
    <col min="6145" max="6145" width="7.33203125" style="1596" customWidth="1"/>
    <col min="6146" max="6146" width="46.6640625" style="1596" customWidth="1"/>
    <col min="6147" max="6147" width="16" style="1596" customWidth="1"/>
    <col min="6148" max="6148" width="15.83203125" style="1596" customWidth="1"/>
    <col min="6149" max="6149" width="17.33203125" style="1596" customWidth="1"/>
    <col min="6150" max="6150" width="16.83203125" style="1596" customWidth="1"/>
    <col min="6151" max="6151" width="18.83203125" style="1596" customWidth="1"/>
    <col min="6152" max="6400" width="9.33203125" style="1596"/>
    <col min="6401" max="6401" width="7.33203125" style="1596" customWidth="1"/>
    <col min="6402" max="6402" width="46.6640625" style="1596" customWidth="1"/>
    <col min="6403" max="6403" width="16" style="1596" customWidth="1"/>
    <col min="6404" max="6404" width="15.83203125" style="1596" customWidth="1"/>
    <col min="6405" max="6405" width="17.33203125" style="1596" customWidth="1"/>
    <col min="6406" max="6406" width="16.83203125" style="1596" customWidth="1"/>
    <col min="6407" max="6407" width="18.83203125" style="1596" customWidth="1"/>
    <col min="6408" max="6656" width="9.33203125" style="1596"/>
    <col min="6657" max="6657" width="7.33203125" style="1596" customWidth="1"/>
    <col min="6658" max="6658" width="46.6640625" style="1596" customWidth="1"/>
    <col min="6659" max="6659" width="16" style="1596" customWidth="1"/>
    <col min="6660" max="6660" width="15.83203125" style="1596" customWidth="1"/>
    <col min="6661" max="6661" width="17.33203125" style="1596" customWidth="1"/>
    <col min="6662" max="6662" width="16.83203125" style="1596" customWidth="1"/>
    <col min="6663" max="6663" width="18.83203125" style="1596" customWidth="1"/>
    <col min="6664" max="6912" width="9.33203125" style="1596"/>
    <col min="6913" max="6913" width="7.33203125" style="1596" customWidth="1"/>
    <col min="6914" max="6914" width="46.6640625" style="1596" customWidth="1"/>
    <col min="6915" max="6915" width="16" style="1596" customWidth="1"/>
    <col min="6916" max="6916" width="15.83203125" style="1596" customWidth="1"/>
    <col min="6917" max="6917" width="17.33203125" style="1596" customWidth="1"/>
    <col min="6918" max="6918" width="16.83203125" style="1596" customWidth="1"/>
    <col min="6919" max="6919" width="18.83203125" style="1596" customWidth="1"/>
    <col min="6920" max="7168" width="9.33203125" style="1596"/>
    <col min="7169" max="7169" width="7.33203125" style="1596" customWidth="1"/>
    <col min="7170" max="7170" width="46.6640625" style="1596" customWidth="1"/>
    <col min="7171" max="7171" width="16" style="1596" customWidth="1"/>
    <col min="7172" max="7172" width="15.83203125" style="1596" customWidth="1"/>
    <col min="7173" max="7173" width="17.33203125" style="1596" customWidth="1"/>
    <col min="7174" max="7174" width="16.83203125" style="1596" customWidth="1"/>
    <col min="7175" max="7175" width="18.83203125" style="1596" customWidth="1"/>
    <col min="7176" max="7424" width="9.33203125" style="1596"/>
    <col min="7425" max="7425" width="7.33203125" style="1596" customWidth="1"/>
    <col min="7426" max="7426" width="46.6640625" style="1596" customWidth="1"/>
    <col min="7427" max="7427" width="16" style="1596" customWidth="1"/>
    <col min="7428" max="7428" width="15.83203125" style="1596" customWidth="1"/>
    <col min="7429" max="7429" width="17.33203125" style="1596" customWidth="1"/>
    <col min="7430" max="7430" width="16.83203125" style="1596" customWidth="1"/>
    <col min="7431" max="7431" width="18.83203125" style="1596" customWidth="1"/>
    <col min="7432" max="7680" width="9.33203125" style="1596"/>
    <col min="7681" max="7681" width="7.33203125" style="1596" customWidth="1"/>
    <col min="7682" max="7682" width="46.6640625" style="1596" customWidth="1"/>
    <col min="7683" max="7683" width="16" style="1596" customWidth="1"/>
    <col min="7684" max="7684" width="15.83203125" style="1596" customWidth="1"/>
    <col min="7685" max="7685" width="17.33203125" style="1596" customWidth="1"/>
    <col min="7686" max="7686" width="16.83203125" style="1596" customWidth="1"/>
    <col min="7687" max="7687" width="18.83203125" style="1596" customWidth="1"/>
    <col min="7688" max="7936" width="9.33203125" style="1596"/>
    <col min="7937" max="7937" width="7.33203125" style="1596" customWidth="1"/>
    <col min="7938" max="7938" width="46.6640625" style="1596" customWidth="1"/>
    <col min="7939" max="7939" width="16" style="1596" customWidth="1"/>
    <col min="7940" max="7940" width="15.83203125" style="1596" customWidth="1"/>
    <col min="7941" max="7941" width="17.33203125" style="1596" customWidth="1"/>
    <col min="7942" max="7942" width="16.83203125" style="1596" customWidth="1"/>
    <col min="7943" max="7943" width="18.83203125" style="1596" customWidth="1"/>
    <col min="7944" max="8192" width="9.33203125" style="1596"/>
    <col min="8193" max="8193" width="7.33203125" style="1596" customWidth="1"/>
    <col min="8194" max="8194" width="46.6640625" style="1596" customWidth="1"/>
    <col min="8195" max="8195" width="16" style="1596" customWidth="1"/>
    <col min="8196" max="8196" width="15.83203125" style="1596" customWidth="1"/>
    <col min="8197" max="8197" width="17.33203125" style="1596" customWidth="1"/>
    <col min="8198" max="8198" width="16.83203125" style="1596" customWidth="1"/>
    <col min="8199" max="8199" width="18.83203125" style="1596" customWidth="1"/>
    <col min="8200" max="8448" width="9.33203125" style="1596"/>
    <col min="8449" max="8449" width="7.33203125" style="1596" customWidth="1"/>
    <col min="8450" max="8450" width="46.6640625" style="1596" customWidth="1"/>
    <col min="8451" max="8451" width="16" style="1596" customWidth="1"/>
    <col min="8452" max="8452" width="15.83203125" style="1596" customWidth="1"/>
    <col min="8453" max="8453" width="17.33203125" style="1596" customWidth="1"/>
    <col min="8454" max="8454" width="16.83203125" style="1596" customWidth="1"/>
    <col min="8455" max="8455" width="18.83203125" style="1596" customWidth="1"/>
    <col min="8456" max="8704" width="9.33203125" style="1596"/>
    <col min="8705" max="8705" width="7.33203125" style="1596" customWidth="1"/>
    <col min="8706" max="8706" width="46.6640625" style="1596" customWidth="1"/>
    <col min="8707" max="8707" width="16" style="1596" customWidth="1"/>
    <col min="8708" max="8708" width="15.83203125" style="1596" customWidth="1"/>
    <col min="8709" max="8709" width="17.33203125" style="1596" customWidth="1"/>
    <col min="8710" max="8710" width="16.83203125" style="1596" customWidth="1"/>
    <col min="8711" max="8711" width="18.83203125" style="1596" customWidth="1"/>
    <col min="8712" max="8960" width="9.33203125" style="1596"/>
    <col min="8961" max="8961" width="7.33203125" style="1596" customWidth="1"/>
    <col min="8962" max="8962" width="46.6640625" style="1596" customWidth="1"/>
    <col min="8963" max="8963" width="16" style="1596" customWidth="1"/>
    <col min="8964" max="8964" width="15.83203125" style="1596" customWidth="1"/>
    <col min="8965" max="8965" width="17.33203125" style="1596" customWidth="1"/>
    <col min="8966" max="8966" width="16.83203125" style="1596" customWidth="1"/>
    <col min="8967" max="8967" width="18.83203125" style="1596" customWidth="1"/>
    <col min="8968" max="9216" width="9.33203125" style="1596"/>
    <col min="9217" max="9217" width="7.33203125" style="1596" customWidth="1"/>
    <col min="9218" max="9218" width="46.6640625" style="1596" customWidth="1"/>
    <col min="9219" max="9219" width="16" style="1596" customWidth="1"/>
    <col min="9220" max="9220" width="15.83203125" style="1596" customWidth="1"/>
    <col min="9221" max="9221" width="17.33203125" style="1596" customWidth="1"/>
    <col min="9222" max="9222" width="16.83203125" style="1596" customWidth="1"/>
    <col min="9223" max="9223" width="18.83203125" style="1596" customWidth="1"/>
    <col min="9224" max="9472" width="9.33203125" style="1596"/>
    <col min="9473" max="9473" width="7.33203125" style="1596" customWidth="1"/>
    <col min="9474" max="9474" width="46.6640625" style="1596" customWidth="1"/>
    <col min="9475" max="9475" width="16" style="1596" customWidth="1"/>
    <col min="9476" max="9476" width="15.83203125" style="1596" customWidth="1"/>
    <col min="9477" max="9477" width="17.33203125" style="1596" customWidth="1"/>
    <col min="9478" max="9478" width="16.83203125" style="1596" customWidth="1"/>
    <col min="9479" max="9479" width="18.83203125" style="1596" customWidth="1"/>
    <col min="9480" max="9728" width="9.33203125" style="1596"/>
    <col min="9729" max="9729" width="7.33203125" style="1596" customWidth="1"/>
    <col min="9730" max="9730" width="46.6640625" style="1596" customWidth="1"/>
    <col min="9731" max="9731" width="16" style="1596" customWidth="1"/>
    <col min="9732" max="9732" width="15.83203125" style="1596" customWidth="1"/>
    <col min="9733" max="9733" width="17.33203125" style="1596" customWidth="1"/>
    <col min="9734" max="9734" width="16.83203125" style="1596" customWidth="1"/>
    <col min="9735" max="9735" width="18.83203125" style="1596" customWidth="1"/>
    <col min="9736" max="9984" width="9.33203125" style="1596"/>
    <col min="9985" max="9985" width="7.33203125" style="1596" customWidth="1"/>
    <col min="9986" max="9986" width="46.6640625" style="1596" customWidth="1"/>
    <col min="9987" max="9987" width="16" style="1596" customWidth="1"/>
    <col min="9988" max="9988" width="15.83203125" style="1596" customWidth="1"/>
    <col min="9989" max="9989" width="17.33203125" style="1596" customWidth="1"/>
    <col min="9990" max="9990" width="16.83203125" style="1596" customWidth="1"/>
    <col min="9991" max="9991" width="18.83203125" style="1596" customWidth="1"/>
    <col min="9992" max="10240" width="9.33203125" style="1596"/>
    <col min="10241" max="10241" width="7.33203125" style="1596" customWidth="1"/>
    <col min="10242" max="10242" width="46.6640625" style="1596" customWidth="1"/>
    <col min="10243" max="10243" width="16" style="1596" customWidth="1"/>
    <col min="10244" max="10244" width="15.83203125" style="1596" customWidth="1"/>
    <col min="10245" max="10245" width="17.33203125" style="1596" customWidth="1"/>
    <col min="10246" max="10246" width="16.83203125" style="1596" customWidth="1"/>
    <col min="10247" max="10247" width="18.83203125" style="1596" customWidth="1"/>
    <col min="10248" max="10496" width="9.33203125" style="1596"/>
    <col min="10497" max="10497" width="7.33203125" style="1596" customWidth="1"/>
    <col min="10498" max="10498" width="46.6640625" style="1596" customWidth="1"/>
    <col min="10499" max="10499" width="16" style="1596" customWidth="1"/>
    <col min="10500" max="10500" width="15.83203125" style="1596" customWidth="1"/>
    <col min="10501" max="10501" width="17.33203125" style="1596" customWidth="1"/>
    <col min="10502" max="10502" width="16.83203125" style="1596" customWidth="1"/>
    <col min="10503" max="10503" width="18.83203125" style="1596" customWidth="1"/>
    <col min="10504" max="10752" width="9.33203125" style="1596"/>
    <col min="10753" max="10753" width="7.33203125" style="1596" customWidth="1"/>
    <col min="10754" max="10754" width="46.6640625" style="1596" customWidth="1"/>
    <col min="10755" max="10755" width="16" style="1596" customWidth="1"/>
    <col min="10756" max="10756" width="15.83203125" style="1596" customWidth="1"/>
    <col min="10757" max="10757" width="17.33203125" style="1596" customWidth="1"/>
    <col min="10758" max="10758" width="16.83203125" style="1596" customWidth="1"/>
    <col min="10759" max="10759" width="18.83203125" style="1596" customWidth="1"/>
    <col min="10760" max="11008" width="9.33203125" style="1596"/>
    <col min="11009" max="11009" width="7.33203125" style="1596" customWidth="1"/>
    <col min="11010" max="11010" width="46.6640625" style="1596" customWidth="1"/>
    <col min="11011" max="11011" width="16" style="1596" customWidth="1"/>
    <col min="11012" max="11012" width="15.83203125" style="1596" customWidth="1"/>
    <col min="11013" max="11013" width="17.33203125" style="1596" customWidth="1"/>
    <col min="11014" max="11014" width="16.83203125" style="1596" customWidth="1"/>
    <col min="11015" max="11015" width="18.83203125" style="1596" customWidth="1"/>
    <col min="11016" max="11264" width="9.33203125" style="1596"/>
    <col min="11265" max="11265" width="7.33203125" style="1596" customWidth="1"/>
    <col min="11266" max="11266" width="46.6640625" style="1596" customWidth="1"/>
    <col min="11267" max="11267" width="16" style="1596" customWidth="1"/>
    <col min="11268" max="11268" width="15.83203125" style="1596" customWidth="1"/>
    <col min="11269" max="11269" width="17.33203125" style="1596" customWidth="1"/>
    <col min="11270" max="11270" width="16.83203125" style="1596" customWidth="1"/>
    <col min="11271" max="11271" width="18.83203125" style="1596" customWidth="1"/>
    <col min="11272" max="11520" width="9.33203125" style="1596"/>
    <col min="11521" max="11521" width="7.33203125" style="1596" customWidth="1"/>
    <col min="11522" max="11522" width="46.6640625" style="1596" customWidth="1"/>
    <col min="11523" max="11523" width="16" style="1596" customWidth="1"/>
    <col min="11524" max="11524" width="15.83203125" style="1596" customWidth="1"/>
    <col min="11525" max="11525" width="17.33203125" style="1596" customWidth="1"/>
    <col min="11526" max="11526" width="16.83203125" style="1596" customWidth="1"/>
    <col min="11527" max="11527" width="18.83203125" style="1596" customWidth="1"/>
    <col min="11528" max="11776" width="9.33203125" style="1596"/>
    <col min="11777" max="11777" width="7.33203125" style="1596" customWidth="1"/>
    <col min="11778" max="11778" width="46.6640625" style="1596" customWidth="1"/>
    <col min="11779" max="11779" width="16" style="1596" customWidth="1"/>
    <col min="11780" max="11780" width="15.83203125" style="1596" customWidth="1"/>
    <col min="11781" max="11781" width="17.33203125" style="1596" customWidth="1"/>
    <col min="11782" max="11782" width="16.83203125" style="1596" customWidth="1"/>
    <col min="11783" max="11783" width="18.83203125" style="1596" customWidth="1"/>
    <col min="11784" max="12032" width="9.33203125" style="1596"/>
    <col min="12033" max="12033" width="7.33203125" style="1596" customWidth="1"/>
    <col min="12034" max="12034" width="46.6640625" style="1596" customWidth="1"/>
    <col min="12035" max="12035" width="16" style="1596" customWidth="1"/>
    <col min="12036" max="12036" width="15.83203125" style="1596" customWidth="1"/>
    <col min="12037" max="12037" width="17.33203125" style="1596" customWidth="1"/>
    <col min="12038" max="12038" width="16.83203125" style="1596" customWidth="1"/>
    <col min="12039" max="12039" width="18.83203125" style="1596" customWidth="1"/>
    <col min="12040" max="12288" width="9.33203125" style="1596"/>
    <col min="12289" max="12289" width="7.33203125" style="1596" customWidth="1"/>
    <col min="12290" max="12290" width="46.6640625" style="1596" customWidth="1"/>
    <col min="12291" max="12291" width="16" style="1596" customWidth="1"/>
    <col min="12292" max="12292" width="15.83203125" style="1596" customWidth="1"/>
    <col min="12293" max="12293" width="17.33203125" style="1596" customWidth="1"/>
    <col min="12294" max="12294" width="16.83203125" style="1596" customWidth="1"/>
    <col min="12295" max="12295" width="18.83203125" style="1596" customWidth="1"/>
    <col min="12296" max="12544" width="9.33203125" style="1596"/>
    <col min="12545" max="12545" width="7.33203125" style="1596" customWidth="1"/>
    <col min="12546" max="12546" width="46.6640625" style="1596" customWidth="1"/>
    <col min="12547" max="12547" width="16" style="1596" customWidth="1"/>
    <col min="12548" max="12548" width="15.83203125" style="1596" customWidth="1"/>
    <col min="12549" max="12549" width="17.33203125" style="1596" customWidth="1"/>
    <col min="12550" max="12550" width="16.83203125" style="1596" customWidth="1"/>
    <col min="12551" max="12551" width="18.83203125" style="1596" customWidth="1"/>
    <col min="12552" max="12800" width="9.33203125" style="1596"/>
    <col min="12801" max="12801" width="7.33203125" style="1596" customWidth="1"/>
    <col min="12802" max="12802" width="46.6640625" style="1596" customWidth="1"/>
    <col min="12803" max="12803" width="16" style="1596" customWidth="1"/>
    <col min="12804" max="12804" width="15.83203125" style="1596" customWidth="1"/>
    <col min="12805" max="12805" width="17.33203125" style="1596" customWidth="1"/>
    <col min="12806" max="12806" width="16.83203125" style="1596" customWidth="1"/>
    <col min="12807" max="12807" width="18.83203125" style="1596" customWidth="1"/>
    <col min="12808" max="13056" width="9.33203125" style="1596"/>
    <col min="13057" max="13057" width="7.33203125" style="1596" customWidth="1"/>
    <col min="13058" max="13058" width="46.6640625" style="1596" customWidth="1"/>
    <col min="13059" max="13059" width="16" style="1596" customWidth="1"/>
    <col min="13060" max="13060" width="15.83203125" style="1596" customWidth="1"/>
    <col min="13061" max="13061" width="17.33203125" style="1596" customWidth="1"/>
    <col min="13062" max="13062" width="16.83203125" style="1596" customWidth="1"/>
    <col min="13063" max="13063" width="18.83203125" style="1596" customWidth="1"/>
    <col min="13064" max="13312" width="9.33203125" style="1596"/>
    <col min="13313" max="13313" width="7.33203125" style="1596" customWidth="1"/>
    <col min="13314" max="13314" width="46.6640625" style="1596" customWidth="1"/>
    <col min="13315" max="13315" width="16" style="1596" customWidth="1"/>
    <col min="13316" max="13316" width="15.83203125" style="1596" customWidth="1"/>
    <col min="13317" max="13317" width="17.33203125" style="1596" customWidth="1"/>
    <col min="13318" max="13318" width="16.83203125" style="1596" customWidth="1"/>
    <col min="13319" max="13319" width="18.83203125" style="1596" customWidth="1"/>
    <col min="13320" max="13568" width="9.33203125" style="1596"/>
    <col min="13569" max="13569" width="7.33203125" style="1596" customWidth="1"/>
    <col min="13570" max="13570" width="46.6640625" style="1596" customWidth="1"/>
    <col min="13571" max="13571" width="16" style="1596" customWidth="1"/>
    <col min="13572" max="13572" width="15.83203125" style="1596" customWidth="1"/>
    <col min="13573" max="13573" width="17.33203125" style="1596" customWidth="1"/>
    <col min="13574" max="13574" width="16.83203125" style="1596" customWidth="1"/>
    <col min="13575" max="13575" width="18.83203125" style="1596" customWidth="1"/>
    <col min="13576" max="13824" width="9.33203125" style="1596"/>
    <col min="13825" max="13825" width="7.33203125" style="1596" customWidth="1"/>
    <col min="13826" max="13826" width="46.6640625" style="1596" customWidth="1"/>
    <col min="13827" max="13827" width="16" style="1596" customWidth="1"/>
    <col min="13828" max="13828" width="15.83203125" style="1596" customWidth="1"/>
    <col min="13829" max="13829" width="17.33203125" style="1596" customWidth="1"/>
    <col min="13830" max="13830" width="16.83203125" style="1596" customWidth="1"/>
    <col min="13831" max="13831" width="18.83203125" style="1596" customWidth="1"/>
    <col min="13832" max="14080" width="9.33203125" style="1596"/>
    <col min="14081" max="14081" width="7.33203125" style="1596" customWidth="1"/>
    <col min="14082" max="14082" width="46.6640625" style="1596" customWidth="1"/>
    <col min="14083" max="14083" width="16" style="1596" customWidth="1"/>
    <col min="14084" max="14084" width="15.83203125" style="1596" customWidth="1"/>
    <col min="14085" max="14085" width="17.33203125" style="1596" customWidth="1"/>
    <col min="14086" max="14086" width="16.83203125" style="1596" customWidth="1"/>
    <col min="14087" max="14087" width="18.83203125" style="1596" customWidth="1"/>
    <col min="14088" max="14336" width="9.33203125" style="1596"/>
    <col min="14337" max="14337" width="7.33203125" style="1596" customWidth="1"/>
    <col min="14338" max="14338" width="46.6640625" style="1596" customWidth="1"/>
    <col min="14339" max="14339" width="16" style="1596" customWidth="1"/>
    <col min="14340" max="14340" width="15.83203125" style="1596" customWidth="1"/>
    <col min="14341" max="14341" width="17.33203125" style="1596" customWidth="1"/>
    <col min="14342" max="14342" width="16.83203125" style="1596" customWidth="1"/>
    <col min="14343" max="14343" width="18.83203125" style="1596" customWidth="1"/>
    <col min="14344" max="14592" width="9.33203125" style="1596"/>
    <col min="14593" max="14593" width="7.33203125" style="1596" customWidth="1"/>
    <col min="14594" max="14594" width="46.6640625" style="1596" customWidth="1"/>
    <col min="14595" max="14595" width="16" style="1596" customWidth="1"/>
    <col min="14596" max="14596" width="15.83203125" style="1596" customWidth="1"/>
    <col min="14597" max="14597" width="17.33203125" style="1596" customWidth="1"/>
    <col min="14598" max="14598" width="16.83203125" style="1596" customWidth="1"/>
    <col min="14599" max="14599" width="18.83203125" style="1596" customWidth="1"/>
    <col min="14600" max="14848" width="9.33203125" style="1596"/>
    <col min="14849" max="14849" width="7.33203125" style="1596" customWidth="1"/>
    <col min="14850" max="14850" width="46.6640625" style="1596" customWidth="1"/>
    <col min="14851" max="14851" width="16" style="1596" customWidth="1"/>
    <col min="14852" max="14852" width="15.83203125" style="1596" customWidth="1"/>
    <col min="14853" max="14853" width="17.33203125" style="1596" customWidth="1"/>
    <col min="14854" max="14854" width="16.83203125" style="1596" customWidth="1"/>
    <col min="14855" max="14855" width="18.83203125" style="1596" customWidth="1"/>
    <col min="14856" max="15104" width="9.33203125" style="1596"/>
    <col min="15105" max="15105" width="7.33203125" style="1596" customWidth="1"/>
    <col min="15106" max="15106" width="46.6640625" style="1596" customWidth="1"/>
    <col min="15107" max="15107" width="16" style="1596" customWidth="1"/>
    <col min="15108" max="15108" width="15.83203125" style="1596" customWidth="1"/>
    <col min="15109" max="15109" width="17.33203125" style="1596" customWidth="1"/>
    <col min="15110" max="15110" width="16.83203125" style="1596" customWidth="1"/>
    <col min="15111" max="15111" width="18.83203125" style="1596" customWidth="1"/>
    <col min="15112" max="15360" width="9.33203125" style="1596"/>
    <col min="15361" max="15361" width="7.33203125" style="1596" customWidth="1"/>
    <col min="15362" max="15362" width="46.6640625" style="1596" customWidth="1"/>
    <col min="15363" max="15363" width="16" style="1596" customWidth="1"/>
    <col min="15364" max="15364" width="15.83203125" style="1596" customWidth="1"/>
    <col min="15365" max="15365" width="17.33203125" style="1596" customWidth="1"/>
    <col min="15366" max="15366" width="16.83203125" style="1596" customWidth="1"/>
    <col min="15367" max="15367" width="18.83203125" style="1596" customWidth="1"/>
    <col min="15368" max="15616" width="9.33203125" style="1596"/>
    <col min="15617" max="15617" width="7.33203125" style="1596" customWidth="1"/>
    <col min="15618" max="15618" width="46.6640625" style="1596" customWidth="1"/>
    <col min="15619" max="15619" width="16" style="1596" customWidth="1"/>
    <col min="15620" max="15620" width="15.83203125" style="1596" customWidth="1"/>
    <col min="15621" max="15621" width="17.33203125" style="1596" customWidth="1"/>
    <col min="15622" max="15622" width="16.83203125" style="1596" customWidth="1"/>
    <col min="15623" max="15623" width="18.83203125" style="1596" customWidth="1"/>
    <col min="15624" max="15872" width="9.33203125" style="1596"/>
    <col min="15873" max="15873" width="7.33203125" style="1596" customWidth="1"/>
    <col min="15874" max="15874" width="46.6640625" style="1596" customWidth="1"/>
    <col min="15875" max="15875" width="16" style="1596" customWidth="1"/>
    <col min="15876" max="15876" width="15.83203125" style="1596" customWidth="1"/>
    <col min="15877" max="15877" width="17.33203125" style="1596" customWidth="1"/>
    <col min="15878" max="15878" width="16.83203125" style="1596" customWidth="1"/>
    <col min="15879" max="15879" width="18.83203125" style="1596" customWidth="1"/>
    <col min="15880" max="16128" width="9.33203125" style="1596"/>
    <col min="16129" max="16129" width="7.33203125" style="1596" customWidth="1"/>
    <col min="16130" max="16130" width="46.6640625" style="1596" customWidth="1"/>
    <col min="16131" max="16131" width="16" style="1596" customWidth="1"/>
    <col min="16132" max="16132" width="15.83203125" style="1596" customWidth="1"/>
    <col min="16133" max="16133" width="17.33203125" style="1596" customWidth="1"/>
    <col min="16134" max="16134" width="16.83203125" style="1596" customWidth="1"/>
    <col min="16135" max="16135" width="18.83203125" style="1596" customWidth="1"/>
    <col min="16136" max="16384" width="9.33203125" style="1596"/>
  </cols>
  <sheetData>
    <row r="1" spans="1:8" ht="33" customHeight="1">
      <c r="A1" s="1979" t="s">
        <v>2063</v>
      </c>
      <c r="B1" s="1979"/>
      <c r="C1" s="1979"/>
      <c r="D1" s="1979"/>
      <c r="E1" s="1979"/>
      <c r="F1" s="1979"/>
      <c r="G1" s="1979"/>
    </row>
    <row r="2" spans="1:8" ht="15.95" customHeight="1" thickBot="1">
      <c r="A2" s="1597"/>
      <c r="B2" s="1597"/>
      <c r="C2" s="1597"/>
      <c r="D2" s="1980"/>
      <c r="E2" s="1980"/>
      <c r="F2" s="1981" t="s">
        <v>2078</v>
      </c>
      <c r="G2" s="1981"/>
      <c r="H2" s="1598"/>
    </row>
    <row r="3" spans="1:8" ht="23.25" customHeight="1" thickBot="1">
      <c r="A3" s="1982" t="s">
        <v>2064</v>
      </c>
      <c r="B3" s="1983" t="s">
        <v>1177</v>
      </c>
      <c r="C3" s="1984" t="s">
        <v>2065</v>
      </c>
      <c r="D3" s="1984"/>
      <c r="E3" s="1984"/>
      <c r="F3" s="1984"/>
      <c r="G3" s="1985" t="s">
        <v>2066</v>
      </c>
    </row>
    <row r="4" spans="1:8" ht="30.75" customHeight="1" thickBot="1">
      <c r="A4" s="1982"/>
      <c r="B4" s="1983"/>
      <c r="C4" s="1599" t="s">
        <v>2067</v>
      </c>
      <c r="D4" s="1599" t="s">
        <v>2068</v>
      </c>
      <c r="E4" s="1599" t="s">
        <v>2069</v>
      </c>
      <c r="F4" s="1599" t="s">
        <v>2070</v>
      </c>
      <c r="G4" s="1985"/>
    </row>
    <row r="5" spans="1:8" ht="15.75" thickBot="1">
      <c r="A5" s="1600">
        <v>1</v>
      </c>
      <c r="B5" s="1601">
        <v>2</v>
      </c>
      <c r="C5" s="1601">
        <v>3</v>
      </c>
      <c r="D5" s="1601">
        <v>4</v>
      </c>
      <c r="E5" s="1601">
        <v>5</v>
      </c>
      <c r="F5" s="1601">
        <v>6</v>
      </c>
      <c r="G5" s="1602">
        <v>7</v>
      </c>
    </row>
    <row r="6" spans="1:8" ht="31.5">
      <c r="A6" s="1603" t="s">
        <v>4</v>
      </c>
      <c r="B6" s="1604" t="s">
        <v>2071</v>
      </c>
      <c r="C6" s="1605">
        <f>SUM(C7:C8)</f>
        <v>11319</v>
      </c>
      <c r="D6" s="1605">
        <f>SUM(D7:D8)</f>
        <v>4150</v>
      </c>
      <c r="E6" s="1757">
        <v>0</v>
      </c>
      <c r="F6" s="1757">
        <v>0</v>
      </c>
      <c r="G6" s="1606">
        <f>SUM(C6:F6)</f>
        <v>15469</v>
      </c>
    </row>
    <row r="7" spans="1:8" ht="15.75">
      <c r="A7" s="1603"/>
      <c r="B7" s="1607" t="s">
        <v>2333</v>
      </c>
      <c r="C7" s="1608">
        <v>5521</v>
      </c>
      <c r="D7" s="1608">
        <v>1975</v>
      </c>
      <c r="E7" s="1758"/>
      <c r="F7" s="1758"/>
      <c r="G7" s="1609"/>
    </row>
    <row r="8" spans="1:8" ht="15.75">
      <c r="A8" s="1603"/>
      <c r="B8" s="1607" t="s">
        <v>2334</v>
      </c>
      <c r="C8" s="1608">
        <v>5798</v>
      </c>
      <c r="D8" s="1608">
        <v>2175</v>
      </c>
      <c r="E8" s="1758"/>
      <c r="F8" s="1758"/>
      <c r="G8" s="1609"/>
    </row>
    <row r="9" spans="1:8" ht="31.5">
      <c r="A9" s="1603" t="s">
        <v>5</v>
      </c>
      <c r="B9" s="1604" t="s">
        <v>2072</v>
      </c>
      <c r="C9" s="1605">
        <f>SUM(C10:C11)</f>
        <v>8624</v>
      </c>
      <c r="D9" s="1605">
        <f>SUM(D10:D11)</f>
        <v>2125</v>
      </c>
      <c r="E9" s="1757">
        <v>0</v>
      </c>
      <c r="F9" s="1757">
        <v>0</v>
      </c>
      <c r="G9" s="1606">
        <f>SUM(C9:F9)</f>
        <v>10749</v>
      </c>
    </row>
    <row r="10" spans="1:8" ht="15.75">
      <c r="A10" s="1610"/>
      <c r="B10" s="1607" t="s">
        <v>2333</v>
      </c>
      <c r="C10" s="1611">
        <v>8624</v>
      </c>
      <c r="D10" s="1611">
        <v>875</v>
      </c>
      <c r="E10" s="1759"/>
      <c r="F10" s="1759"/>
      <c r="G10" s="1612"/>
    </row>
    <row r="11" spans="1:8" ht="15.75">
      <c r="A11" s="1610"/>
      <c r="B11" s="1607" t="s">
        <v>2334</v>
      </c>
      <c r="C11" s="1611">
        <v>0</v>
      </c>
      <c r="D11" s="1611">
        <v>1250</v>
      </c>
      <c r="E11" s="1759"/>
      <c r="F11" s="1759"/>
      <c r="G11" s="1612"/>
    </row>
    <row r="12" spans="1:8" ht="21.75" customHeight="1">
      <c r="A12" s="1603" t="s">
        <v>19</v>
      </c>
      <c r="B12" s="1604" t="s">
        <v>2073</v>
      </c>
      <c r="C12" s="1605">
        <f>SUM(C13:C14)</f>
        <v>5002</v>
      </c>
      <c r="D12" s="1605">
        <f>SUM(D13:D14)</f>
        <v>1900</v>
      </c>
      <c r="E12" s="1757">
        <v>0</v>
      </c>
      <c r="F12" s="1757">
        <v>0</v>
      </c>
      <c r="G12" s="1606">
        <f>SUM(C12:F12)</f>
        <v>6902</v>
      </c>
    </row>
    <row r="13" spans="1:8" ht="15.75">
      <c r="A13" s="1610"/>
      <c r="B13" s="1613" t="s">
        <v>2333</v>
      </c>
      <c r="C13" s="1611">
        <v>5002</v>
      </c>
      <c r="D13" s="1611">
        <v>1900</v>
      </c>
      <c r="E13" s="1759"/>
      <c r="F13" s="1759"/>
      <c r="G13" s="1612"/>
    </row>
    <row r="14" spans="1:8" ht="15.75">
      <c r="A14" s="1610"/>
      <c r="B14" s="1613" t="s">
        <v>2334</v>
      </c>
      <c r="C14" s="1611">
        <v>0</v>
      </c>
      <c r="D14" s="1611">
        <v>0</v>
      </c>
      <c r="E14" s="1759"/>
      <c r="F14" s="1759"/>
      <c r="G14" s="1612"/>
    </row>
    <row r="15" spans="1:8" ht="18" customHeight="1">
      <c r="A15" s="1603" t="s">
        <v>149</v>
      </c>
      <c r="B15" s="1604" t="s">
        <v>2074</v>
      </c>
      <c r="C15" s="1605">
        <f>SUM(C16:C17)</f>
        <v>47624</v>
      </c>
      <c r="D15" s="1605">
        <f>SUM(D16:D17)</f>
        <v>1715</v>
      </c>
      <c r="E15" s="1757">
        <v>0</v>
      </c>
      <c r="F15" s="1757">
        <v>0</v>
      </c>
      <c r="G15" s="1606">
        <f>SUM(C15:F15)</f>
        <v>49339</v>
      </c>
    </row>
    <row r="16" spans="1:8" ht="15.75">
      <c r="A16" s="1610"/>
      <c r="B16" s="1613" t="s">
        <v>2333</v>
      </c>
      <c r="C16" s="1611">
        <v>4435</v>
      </c>
      <c r="D16" s="1611">
        <v>600</v>
      </c>
      <c r="E16" s="1759"/>
      <c r="F16" s="1759"/>
      <c r="G16" s="1612"/>
    </row>
    <row r="17" spans="1:7" ht="15.75">
      <c r="A17" s="1610"/>
      <c r="B17" s="1613" t="s">
        <v>2334</v>
      </c>
      <c r="C17" s="1611">
        <v>43189</v>
      </c>
      <c r="D17" s="1611">
        <v>1115</v>
      </c>
      <c r="E17" s="1759"/>
      <c r="F17" s="1759"/>
      <c r="G17" s="1612"/>
    </row>
    <row r="18" spans="1:7" ht="30.75" customHeight="1">
      <c r="A18" s="1603" t="s">
        <v>38</v>
      </c>
      <c r="B18" s="1604" t="s">
        <v>2075</v>
      </c>
      <c r="C18" s="1605">
        <f>SUM(C19:C20)</f>
        <v>7976</v>
      </c>
      <c r="D18" s="1605">
        <f>SUM(D19:D20)</f>
        <v>2130</v>
      </c>
      <c r="E18" s="1757">
        <v>0</v>
      </c>
      <c r="F18" s="1757">
        <v>0</v>
      </c>
      <c r="G18" s="1606">
        <f>SUM(C18:F18)</f>
        <v>10106</v>
      </c>
    </row>
    <row r="19" spans="1:7" ht="15.75">
      <c r="A19" s="1614"/>
      <c r="B19" s="1615" t="s">
        <v>2333</v>
      </c>
      <c r="C19" s="1611">
        <v>1726</v>
      </c>
      <c r="D19" s="1611">
        <v>880</v>
      </c>
      <c r="E19" s="1759"/>
      <c r="F19" s="1759"/>
      <c r="G19" s="1612"/>
    </row>
    <row r="20" spans="1:7" ht="16.5" thickBot="1">
      <c r="A20" s="1614"/>
      <c r="B20" s="1615" t="s">
        <v>2334</v>
      </c>
      <c r="C20" s="1611">
        <v>6250</v>
      </c>
      <c r="D20" s="1611">
        <v>1250</v>
      </c>
      <c r="E20" s="1759"/>
      <c r="F20" s="1759"/>
      <c r="G20" s="1612"/>
    </row>
    <row r="21" spans="1:7" ht="16.5" thickBot="1">
      <c r="A21" s="1616"/>
      <c r="B21" s="1617" t="s">
        <v>2076</v>
      </c>
      <c r="C21" s="1618">
        <f>SUM(C18+C15+C12+C9+C6)</f>
        <v>80545</v>
      </c>
      <c r="D21" s="1618">
        <f>SUM(D18+D15+D12+D9+D6)</f>
        <v>12020</v>
      </c>
      <c r="E21" s="1618">
        <f>SUM(E18+E15+E12+E9+E6)</f>
        <v>0</v>
      </c>
      <c r="F21" s="1618">
        <f>SUM(F18+F15+F12+F9+F6)</f>
        <v>0</v>
      </c>
      <c r="G21" s="1618">
        <f>SUM(G18+G15+G12+G9+G6)</f>
        <v>92565</v>
      </c>
    </row>
  </sheetData>
  <sheetProtection selectLockedCells="1" selectUnlockedCells="1"/>
  <mergeCells count="7">
    <mergeCell ref="A1:G1"/>
    <mergeCell ref="D2:E2"/>
    <mergeCell ref="F2:G2"/>
    <mergeCell ref="A3:A4"/>
    <mergeCell ref="B3:B4"/>
    <mergeCell ref="C3:F3"/>
    <mergeCell ref="G3:G4"/>
  </mergeCells>
  <printOptions horizontalCentered="1"/>
  <pageMargins left="0.39370078740157483" right="0.27559055118110237" top="0.47244094488188981" bottom="0.47244094488188981" header="0.19685039370078741" footer="0.15748031496062992"/>
  <pageSetup paperSize="9" firstPageNumber="116" orientation="landscape" horizontalDpi="300" verticalDpi="300" r:id="rId1"/>
  <headerFooter alignWithMargins="0">
    <oddHeader xml:space="preserve">&amp;R&amp;"Arial,Normál"8.1.  számú melléklet </oddHeader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BreakPreview" zoomScaleNormal="120" workbookViewId="0">
      <selection activeCell="E18" sqref="E18"/>
    </sheetView>
  </sheetViews>
  <sheetFormatPr defaultRowHeight="15"/>
  <cols>
    <col min="1" max="1" width="7.1640625" style="11" customWidth="1"/>
    <col min="2" max="2" width="70.1640625" style="11" customWidth="1"/>
    <col min="3" max="3" width="13.5" style="11" bestFit="1" customWidth="1"/>
    <col min="4" max="4" width="13.6640625" style="11" bestFit="1" customWidth="1"/>
    <col min="5" max="5" width="15.1640625" style="11" customWidth="1"/>
    <col min="6" max="16384" width="9.33203125" style="11"/>
  </cols>
  <sheetData>
    <row r="1" spans="1:5" ht="62.25" customHeight="1">
      <c r="A1" s="1986" t="s">
        <v>2077</v>
      </c>
      <c r="B1" s="1986"/>
      <c r="C1" s="1986"/>
      <c r="D1" s="1986"/>
    </row>
    <row r="2" spans="1:5" ht="15.95" customHeight="1" thickBot="1">
      <c r="A2" s="1287"/>
      <c r="B2" s="1287"/>
      <c r="D2" s="1289" t="s">
        <v>2078</v>
      </c>
    </row>
    <row r="3" spans="1:5" ht="51" customHeight="1" thickBot="1">
      <c r="A3" s="1290" t="s">
        <v>2064</v>
      </c>
      <c r="B3" s="1291" t="s">
        <v>2079</v>
      </c>
      <c r="C3" s="1292" t="s">
        <v>1267</v>
      </c>
      <c r="D3" s="1292" t="s">
        <v>2080</v>
      </c>
      <c r="E3" s="1292" t="s">
        <v>1925</v>
      </c>
    </row>
    <row r="4" spans="1:5" ht="16.5" thickBot="1">
      <c r="A4" s="1293">
        <v>1</v>
      </c>
      <c r="B4" s="1294">
        <v>2</v>
      </c>
      <c r="C4" s="1295">
        <v>3</v>
      </c>
      <c r="D4" s="1295">
        <v>3</v>
      </c>
      <c r="E4" s="1295">
        <v>4</v>
      </c>
    </row>
    <row r="5" spans="1:5" ht="15.75">
      <c r="A5" s="1296" t="s">
        <v>4</v>
      </c>
      <c r="B5" s="1297" t="s">
        <v>7</v>
      </c>
      <c r="C5" s="1298">
        <f>SUM('3.1.asz.melléklet'!E30)</f>
        <v>1525000</v>
      </c>
      <c r="D5" s="1298">
        <f>SUM('3.1.asz.melléklet'!F30)</f>
        <v>1598495</v>
      </c>
      <c r="E5" s="1298">
        <f>SUM('3.1.asz.melléklet'!G30)</f>
        <v>1718617</v>
      </c>
    </row>
    <row r="6" spans="1:5" ht="15.75">
      <c r="A6" s="1299" t="s">
        <v>5</v>
      </c>
      <c r="B6" s="1300" t="s">
        <v>2081</v>
      </c>
      <c r="C6" s="1301">
        <f>SUM('[5]3.1.asz.melléklet'!E118)</f>
        <v>0</v>
      </c>
      <c r="D6" s="1301"/>
      <c r="E6" s="1301"/>
    </row>
    <row r="7" spans="1:5" ht="15.75">
      <c r="A7" s="1299" t="s">
        <v>19</v>
      </c>
      <c r="B7" s="1300" t="s">
        <v>2082</v>
      </c>
      <c r="C7" s="1301">
        <f>SUM('3.1.asz.melléklet'!E35)</f>
        <v>10000</v>
      </c>
      <c r="D7" s="1301">
        <f>SUM('3.1.asz.melléklet'!F35)</f>
        <v>10000</v>
      </c>
      <c r="E7" s="1301">
        <f>SUM('3.1.asz.melléklet'!G35)</f>
        <v>21930</v>
      </c>
    </row>
    <row r="8" spans="1:5" ht="39.75" customHeight="1">
      <c r="A8" s="1299" t="s">
        <v>149</v>
      </c>
      <c r="B8" s="1302" t="s">
        <v>2083</v>
      </c>
      <c r="C8" s="1301">
        <f>SUM('3.1.asz.melléklet'!E101)</f>
        <v>200000</v>
      </c>
      <c r="D8" s="1301">
        <f>SUM('3.1.asz.melléklet'!F101)</f>
        <v>9144</v>
      </c>
      <c r="E8" s="1301">
        <f>SUM('3.1.asz.melléklet'!G101)</f>
        <v>55239</v>
      </c>
    </row>
    <row r="9" spans="1:5" ht="15.75">
      <c r="A9" s="1303" t="s">
        <v>38</v>
      </c>
      <c r="B9" s="1304" t="s">
        <v>2084</v>
      </c>
      <c r="C9" s="1305"/>
      <c r="D9" s="1305"/>
      <c r="E9" s="1305"/>
    </row>
    <row r="10" spans="1:5" ht="15.75">
      <c r="A10" s="1299" t="s">
        <v>48</v>
      </c>
      <c r="B10" s="1300" t="s">
        <v>2085</v>
      </c>
      <c r="C10" s="1301"/>
      <c r="D10" s="1301"/>
      <c r="E10" s="1301"/>
    </row>
    <row r="11" spans="1:5" ht="16.5" thickBot="1">
      <c r="A11" s="1303" t="s">
        <v>178</v>
      </c>
      <c r="B11" s="1304" t="s">
        <v>266</v>
      </c>
      <c r="C11" s="1305"/>
      <c r="D11" s="1305"/>
      <c r="E11" s="1305"/>
    </row>
    <row r="12" spans="1:5" ht="16.5" thickBot="1">
      <c r="A12" s="1987" t="s">
        <v>2086</v>
      </c>
      <c r="B12" s="1987"/>
      <c r="C12" s="1306">
        <f>SUM(C5:C11)</f>
        <v>1735000</v>
      </c>
      <c r="D12" s="1306">
        <f>SUM(D5:D11)</f>
        <v>1617639</v>
      </c>
      <c r="E12" s="1306">
        <f>SUM(E5:E11)</f>
        <v>1795786</v>
      </c>
    </row>
    <row r="13" spans="1:5" ht="23.25" customHeight="1">
      <c r="A13" s="1988"/>
      <c r="B13" s="1988"/>
      <c r="C13" s="1988"/>
    </row>
  </sheetData>
  <sheetProtection selectLockedCells="1" selectUnlockedCells="1"/>
  <mergeCells count="3">
    <mergeCell ref="A1:D1"/>
    <mergeCell ref="A12:B12"/>
    <mergeCell ref="A13:C13"/>
  </mergeCells>
  <printOptions horizontalCentered="1"/>
  <pageMargins left="0.39370078740157483" right="0.27559055118110237" top="0.98425196850393704" bottom="0.98425196850393704" header="0.43307086614173229" footer="0.78740157480314965"/>
  <pageSetup paperSize="9" scale="90" firstPageNumber="117" orientation="portrait" horizontalDpi="300" verticalDpi="300" r:id="rId1"/>
  <headerFooter alignWithMargins="0">
    <oddHeader>&amp;R&amp;"Times New Roman,Normál"&amp;12 8.2. sz. melléklet</oddHeader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view="pageBreakPreview" zoomScaleNormal="120" workbookViewId="0">
      <selection sqref="A1:C1"/>
    </sheetView>
  </sheetViews>
  <sheetFormatPr defaultRowHeight="15"/>
  <cols>
    <col min="1" max="1" width="7.83203125" style="11" customWidth="1"/>
    <col min="2" max="2" width="66.83203125" style="11" customWidth="1"/>
    <col min="3" max="3" width="27" style="11" customWidth="1"/>
    <col min="4" max="16384" width="9.33203125" style="11"/>
  </cols>
  <sheetData>
    <row r="1" spans="1:4" ht="42" customHeight="1">
      <c r="A1" s="1986" t="s">
        <v>2087</v>
      </c>
      <c r="B1" s="1986"/>
      <c r="C1" s="1986"/>
    </row>
    <row r="2" spans="1:4" ht="15.95" customHeight="1" thickBot="1">
      <c r="A2" s="1287"/>
      <c r="B2" s="1287"/>
      <c r="C2" s="1289" t="s">
        <v>2078</v>
      </c>
      <c r="D2" s="1288"/>
    </row>
    <row r="3" spans="1:4" ht="36" customHeight="1" thickBot="1">
      <c r="A3" s="1290" t="s">
        <v>2064</v>
      </c>
      <c r="B3" s="1291" t="s">
        <v>2088</v>
      </c>
      <c r="C3" s="1292" t="s">
        <v>2089</v>
      </c>
    </row>
    <row r="4" spans="1:4" ht="16.5" thickBot="1">
      <c r="A4" s="1293">
        <v>1</v>
      </c>
      <c r="B4" s="1294">
        <v>2</v>
      </c>
      <c r="C4" s="1295">
        <v>3</v>
      </c>
    </row>
    <row r="5" spans="1:4" ht="15.75">
      <c r="A5" s="1307" t="s">
        <v>4</v>
      </c>
      <c r="B5" s="1308"/>
      <c r="C5" s="1309"/>
    </row>
    <row r="6" spans="1:4" ht="15.75">
      <c r="A6" s="1310" t="s">
        <v>5</v>
      </c>
      <c r="B6" s="1311"/>
      <c r="C6" s="1312"/>
    </row>
    <row r="7" spans="1:4" ht="16.5" thickBot="1">
      <c r="A7" s="1313" t="s">
        <v>19</v>
      </c>
      <c r="B7" s="1314"/>
      <c r="C7" s="1315"/>
    </row>
    <row r="8" spans="1:4" ht="30.75" customHeight="1" thickBot="1">
      <c r="A8" s="1316" t="s">
        <v>149</v>
      </c>
      <c r="B8" s="1317" t="s">
        <v>2090</v>
      </c>
      <c r="C8" s="1318">
        <f>SUM(C5:C7)</f>
        <v>0</v>
      </c>
    </row>
  </sheetData>
  <sheetProtection selectLockedCells="1" selectUnlockedCells="1"/>
  <mergeCells count="1">
    <mergeCell ref="A1:C1"/>
  </mergeCells>
  <printOptions horizontalCentered="1"/>
  <pageMargins left="0.31496062992125984" right="0.39370078740157483" top="1.0629921259842521" bottom="0.98425196850393704" header="0.55118110236220474" footer="0.78740157480314965"/>
  <pageSetup paperSize="9" firstPageNumber="118" orientation="portrait" horizontalDpi="300" verticalDpi="300" r:id="rId1"/>
  <headerFooter alignWithMargins="0">
    <oddHeader>&amp;R&amp;"Times New Roman,Normál"&amp;12 8.3. sz. melléklet</oddHeader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view="pageBreakPreview" topLeftCell="A61" zoomScaleNormal="120" workbookViewId="0">
      <selection activeCell="F74" sqref="F74"/>
    </sheetView>
  </sheetViews>
  <sheetFormatPr defaultRowHeight="12.75"/>
  <cols>
    <col min="1" max="1" width="6.6640625" customWidth="1"/>
    <col min="2" max="2" width="57.6640625" customWidth="1"/>
    <col min="3" max="3" width="24.33203125" customWidth="1"/>
    <col min="4" max="4" width="15.83203125" customWidth="1"/>
  </cols>
  <sheetData>
    <row r="1" spans="1:4" ht="46.5" customHeight="1" thickBot="1">
      <c r="A1" s="1477" t="s">
        <v>195</v>
      </c>
      <c r="B1" s="1478" t="s">
        <v>2194</v>
      </c>
      <c r="C1" s="1478" t="s">
        <v>2195</v>
      </c>
      <c r="D1" s="1578" t="s">
        <v>2196</v>
      </c>
    </row>
    <row r="2" spans="1:4" ht="15.95" customHeight="1">
      <c r="A2" s="1479"/>
      <c r="B2" s="1480" t="s">
        <v>533</v>
      </c>
      <c r="C2" s="1481" t="s">
        <v>2197</v>
      </c>
      <c r="D2" s="1475">
        <f>SUM(D3:D13)-D11-D12</f>
        <v>30400</v>
      </c>
    </row>
    <row r="3" spans="1:4" ht="19.5" customHeight="1">
      <c r="A3" s="1482" t="s">
        <v>4</v>
      </c>
      <c r="B3" s="1483" t="s">
        <v>535</v>
      </c>
      <c r="C3" s="1481" t="s">
        <v>2197</v>
      </c>
      <c r="D3" s="298">
        <v>3400</v>
      </c>
    </row>
    <row r="4" spans="1:4" ht="15.95" customHeight="1">
      <c r="A4" s="1482" t="s">
        <v>5</v>
      </c>
      <c r="B4" s="1483" t="s">
        <v>537</v>
      </c>
      <c r="C4" s="1481" t="s">
        <v>2197</v>
      </c>
      <c r="D4" s="298">
        <v>200</v>
      </c>
    </row>
    <row r="5" spans="1:4" ht="15.95" customHeight="1">
      <c r="A5" s="1482" t="s">
        <v>19</v>
      </c>
      <c r="B5" s="1483" t="s">
        <v>539</v>
      </c>
      <c r="C5" s="1481" t="s">
        <v>2197</v>
      </c>
      <c r="D5" s="298">
        <v>9500</v>
      </c>
    </row>
    <row r="6" spans="1:4" ht="15.95" customHeight="1">
      <c r="A6" s="1482" t="s">
        <v>149</v>
      </c>
      <c r="B6" s="1483" t="s">
        <v>543</v>
      </c>
      <c r="C6" s="1481" t="s">
        <v>2197</v>
      </c>
      <c r="D6" s="298">
        <v>200</v>
      </c>
    </row>
    <row r="7" spans="1:4" ht="15.95" customHeight="1">
      <c r="A7" s="1482" t="s">
        <v>38</v>
      </c>
      <c r="B7" s="1483" t="s">
        <v>545</v>
      </c>
      <c r="C7" s="1481" t="s">
        <v>2197</v>
      </c>
      <c r="D7" s="298">
        <v>200</v>
      </c>
    </row>
    <row r="8" spans="1:4" ht="15.95" customHeight="1">
      <c r="A8" s="1482" t="s">
        <v>48</v>
      </c>
      <c r="B8" s="1483" t="s">
        <v>547</v>
      </c>
      <c r="C8" s="1481" t="s">
        <v>2197</v>
      </c>
      <c r="D8" s="298">
        <v>7300</v>
      </c>
    </row>
    <row r="9" spans="1:4" ht="15.95" customHeight="1">
      <c r="A9" s="1482" t="s">
        <v>178</v>
      </c>
      <c r="B9" s="1483" t="s">
        <v>549</v>
      </c>
      <c r="C9" s="1481" t="s">
        <v>2197</v>
      </c>
      <c r="D9" s="298">
        <v>500</v>
      </c>
    </row>
    <row r="10" spans="1:4" ht="15.95" customHeight="1">
      <c r="A10" s="1482" t="s">
        <v>74</v>
      </c>
      <c r="B10" s="1483" t="s">
        <v>551</v>
      </c>
      <c r="C10" s="1481" t="s">
        <v>2197</v>
      </c>
      <c r="D10" s="298">
        <v>8500</v>
      </c>
    </row>
    <row r="11" spans="1:4" ht="15.95" customHeight="1">
      <c r="A11" s="1482" t="s">
        <v>205</v>
      </c>
      <c r="B11" s="1579" t="s">
        <v>553</v>
      </c>
      <c r="C11" s="1481" t="s">
        <v>2197</v>
      </c>
      <c r="D11" s="302">
        <v>3000</v>
      </c>
    </row>
    <row r="12" spans="1:4" ht="15.95" customHeight="1">
      <c r="A12" s="1482" t="s">
        <v>79</v>
      </c>
      <c r="B12" s="1579" t="s">
        <v>2198</v>
      </c>
      <c r="C12" s="1481" t="s">
        <v>2197</v>
      </c>
      <c r="D12" s="302">
        <v>1500</v>
      </c>
    </row>
    <row r="13" spans="1:4" ht="15.95" customHeight="1">
      <c r="A13" s="1482" t="s">
        <v>80</v>
      </c>
      <c r="B13" s="370" t="s">
        <v>1998</v>
      </c>
      <c r="C13" s="1481" t="s">
        <v>2197</v>
      </c>
      <c r="D13" s="298">
        <v>600</v>
      </c>
    </row>
    <row r="14" spans="1:4" ht="15.95" customHeight="1">
      <c r="A14" s="1482" t="s">
        <v>85</v>
      </c>
      <c r="B14" s="1480" t="s">
        <v>556</v>
      </c>
      <c r="C14" s="1481" t="s">
        <v>2197</v>
      </c>
      <c r="D14" s="1475">
        <f>SUM(D15:D59)-D16-D17-D22</f>
        <v>85182</v>
      </c>
    </row>
    <row r="15" spans="1:4" ht="15.95" customHeight="1">
      <c r="A15" s="1482" t="s">
        <v>98</v>
      </c>
      <c r="B15" s="1483" t="s">
        <v>558</v>
      </c>
      <c r="C15" s="1481" t="s">
        <v>2197</v>
      </c>
      <c r="D15" s="302">
        <f>SUM(D16:D17)</f>
        <v>37650</v>
      </c>
    </row>
    <row r="16" spans="1:4" ht="15.95" customHeight="1">
      <c r="A16" s="1482" t="s">
        <v>99</v>
      </c>
      <c r="B16" s="1483" t="s">
        <v>1279</v>
      </c>
      <c r="C16" s="1481" t="s">
        <v>2197</v>
      </c>
      <c r="D16" s="298">
        <v>30000</v>
      </c>
    </row>
    <row r="17" spans="1:4" ht="15.95" customHeight="1">
      <c r="A17" s="1482" t="s">
        <v>210</v>
      </c>
      <c r="B17" s="1483" t="s">
        <v>561</v>
      </c>
      <c r="C17" s="1481" t="s">
        <v>2197</v>
      </c>
      <c r="D17" s="298">
        <v>7650</v>
      </c>
    </row>
    <row r="18" spans="1:4" ht="15.95" customHeight="1">
      <c r="A18" s="1482" t="s">
        <v>212</v>
      </c>
      <c r="B18" s="1483" t="s">
        <v>565</v>
      </c>
      <c r="C18" s="1481" t="s">
        <v>2197</v>
      </c>
      <c r="D18" s="298">
        <v>3500</v>
      </c>
    </row>
    <row r="19" spans="1:4" ht="15.95" customHeight="1">
      <c r="A19" s="1482" t="s">
        <v>214</v>
      </c>
      <c r="B19" s="1483" t="s">
        <v>1271</v>
      </c>
      <c r="C19" s="1481" t="s">
        <v>2197</v>
      </c>
      <c r="D19" s="298">
        <v>1500</v>
      </c>
    </row>
    <row r="20" spans="1:4" ht="15.95" customHeight="1">
      <c r="A20" s="1482" t="s">
        <v>215</v>
      </c>
      <c r="B20" s="1484" t="s">
        <v>568</v>
      </c>
      <c r="C20" s="1481" t="s">
        <v>2197</v>
      </c>
      <c r="D20" s="374">
        <v>7620</v>
      </c>
    </row>
    <row r="21" spans="1:4" ht="15.95" customHeight="1">
      <c r="A21" s="1482" t="s">
        <v>217</v>
      </c>
      <c r="B21" s="1485" t="s">
        <v>570</v>
      </c>
      <c r="C21" s="1481" t="s">
        <v>2197</v>
      </c>
      <c r="D21" s="374">
        <v>6000</v>
      </c>
    </row>
    <row r="22" spans="1:4" ht="15.95" customHeight="1">
      <c r="A22" s="1482" t="s">
        <v>219</v>
      </c>
      <c r="B22" s="1486" t="s">
        <v>572</v>
      </c>
      <c r="C22" s="1481" t="s">
        <v>2197</v>
      </c>
      <c r="D22" s="377">
        <v>2500</v>
      </c>
    </row>
    <row r="23" spans="1:4" ht="15.95" customHeight="1">
      <c r="A23" s="1482" t="s">
        <v>221</v>
      </c>
      <c r="B23" s="1484" t="s">
        <v>574</v>
      </c>
      <c r="C23" s="1481" t="s">
        <v>2197</v>
      </c>
      <c r="D23" s="374">
        <v>500</v>
      </c>
    </row>
    <row r="24" spans="1:4" ht="15.95" customHeight="1">
      <c r="A24" s="1482" t="s">
        <v>222</v>
      </c>
      <c r="B24" s="1485" t="s">
        <v>1747</v>
      </c>
      <c r="C24" s="1481" t="s">
        <v>2197</v>
      </c>
      <c r="D24" s="374">
        <v>1630</v>
      </c>
    </row>
    <row r="25" spans="1:4" ht="15.95" customHeight="1">
      <c r="A25" s="1482" t="s">
        <v>224</v>
      </c>
      <c r="B25" s="1485" t="s">
        <v>577</v>
      </c>
      <c r="C25" s="1481" t="s">
        <v>2197</v>
      </c>
      <c r="D25" s="374">
        <v>50</v>
      </c>
    </row>
    <row r="26" spans="1:4" ht="15.95" customHeight="1">
      <c r="A26" s="1482" t="s">
        <v>225</v>
      </c>
      <c r="B26" s="1485" t="s">
        <v>1749</v>
      </c>
      <c r="C26" s="1481" t="s">
        <v>2197</v>
      </c>
      <c r="D26" s="374">
        <v>200</v>
      </c>
    </row>
    <row r="27" spans="1:4" ht="15.95" customHeight="1">
      <c r="A27" s="1482" t="s">
        <v>227</v>
      </c>
      <c r="B27" s="1485" t="s">
        <v>580</v>
      </c>
      <c r="C27" s="1481" t="s">
        <v>2197</v>
      </c>
      <c r="D27" s="374">
        <v>50</v>
      </c>
    </row>
    <row r="28" spans="1:4" ht="15.95" customHeight="1">
      <c r="A28" s="1482" t="s">
        <v>229</v>
      </c>
      <c r="B28" s="1485" t="s">
        <v>582</v>
      </c>
      <c r="C28" s="1481" t="s">
        <v>2197</v>
      </c>
      <c r="D28" s="374">
        <v>1450</v>
      </c>
    </row>
    <row r="29" spans="1:4" ht="15.95" customHeight="1">
      <c r="A29" s="1482" t="s">
        <v>2148</v>
      </c>
      <c r="B29" s="1485" t="s">
        <v>584</v>
      </c>
      <c r="C29" s="1481" t="s">
        <v>2197</v>
      </c>
      <c r="D29" s="374">
        <v>50</v>
      </c>
    </row>
    <row r="30" spans="1:4" ht="15.95" customHeight="1">
      <c r="A30" s="1482" t="s">
        <v>2179</v>
      </c>
      <c r="B30" s="1485" t="s">
        <v>586</v>
      </c>
      <c r="C30" s="1481" t="s">
        <v>2197</v>
      </c>
      <c r="D30" s="374">
        <v>50</v>
      </c>
    </row>
    <row r="31" spans="1:4" ht="15.95" customHeight="1">
      <c r="A31" s="1482" t="s">
        <v>2199</v>
      </c>
      <c r="B31" s="1485" t="s">
        <v>588</v>
      </c>
      <c r="C31" s="1481" t="s">
        <v>2197</v>
      </c>
      <c r="D31" s="374">
        <v>80</v>
      </c>
    </row>
    <row r="32" spans="1:4" ht="15.95" customHeight="1">
      <c r="A32" s="1482" t="s">
        <v>2200</v>
      </c>
      <c r="B32" s="1485" t="s">
        <v>590</v>
      </c>
      <c r="C32" s="1481" t="s">
        <v>2197</v>
      </c>
      <c r="D32" s="374">
        <v>50</v>
      </c>
    </row>
    <row r="33" spans="1:4" ht="15.95" customHeight="1">
      <c r="A33" s="1482" t="s">
        <v>2201</v>
      </c>
      <c r="B33" s="1485" t="s">
        <v>592</v>
      </c>
      <c r="C33" s="1481" t="s">
        <v>2197</v>
      </c>
      <c r="D33" s="374">
        <v>50</v>
      </c>
    </row>
    <row r="34" spans="1:4" ht="15.95" customHeight="1">
      <c r="A34" s="1482" t="s">
        <v>2202</v>
      </c>
      <c r="B34" s="1485" t="s">
        <v>594</v>
      </c>
      <c r="C34" s="1481" t="s">
        <v>2197</v>
      </c>
      <c r="D34" s="374">
        <v>0</v>
      </c>
    </row>
    <row r="35" spans="1:4" ht="15.95" customHeight="1">
      <c r="A35" s="1482" t="s">
        <v>2203</v>
      </c>
      <c r="B35" s="1485" t="s">
        <v>596</v>
      </c>
      <c r="C35" s="1481" t="s">
        <v>2197</v>
      </c>
      <c r="D35" s="374">
        <v>120</v>
      </c>
    </row>
    <row r="36" spans="1:4" ht="15.95" customHeight="1">
      <c r="A36" s="1482" t="s">
        <v>2204</v>
      </c>
      <c r="B36" s="1485" t="s">
        <v>598</v>
      </c>
      <c r="C36" s="1481" t="s">
        <v>2197</v>
      </c>
      <c r="D36" s="374">
        <v>50</v>
      </c>
    </row>
    <row r="37" spans="1:4" ht="15.95" customHeight="1">
      <c r="A37" s="1482" t="s">
        <v>2205</v>
      </c>
      <c r="B37" s="1485" t="s">
        <v>600</v>
      </c>
      <c r="C37" s="1481" t="s">
        <v>2197</v>
      </c>
      <c r="D37" s="374">
        <v>50</v>
      </c>
    </row>
    <row r="38" spans="1:4" ht="15.95" customHeight="1">
      <c r="A38" s="1482" t="s">
        <v>2206</v>
      </c>
      <c r="B38" s="1485" t="s">
        <v>1748</v>
      </c>
      <c r="C38" s="1481" t="s">
        <v>2197</v>
      </c>
      <c r="D38" s="374">
        <v>267</v>
      </c>
    </row>
    <row r="39" spans="1:4" ht="15.95" customHeight="1">
      <c r="A39" s="1482" t="s">
        <v>2207</v>
      </c>
      <c r="B39" s="1485" t="s">
        <v>603</v>
      </c>
      <c r="C39" s="1481" t="s">
        <v>2197</v>
      </c>
      <c r="D39" s="374">
        <v>50</v>
      </c>
    </row>
    <row r="40" spans="1:4" ht="15.95" customHeight="1">
      <c r="A40" s="1482" t="s">
        <v>2208</v>
      </c>
      <c r="B40" s="1485" t="s">
        <v>605</v>
      </c>
      <c r="C40" s="1481" t="s">
        <v>2197</v>
      </c>
      <c r="D40" s="374">
        <v>50</v>
      </c>
    </row>
    <row r="41" spans="1:4" ht="15.95" customHeight="1">
      <c r="A41" s="1482" t="s">
        <v>2209</v>
      </c>
      <c r="B41" s="1485" t="s">
        <v>607</v>
      </c>
      <c r="C41" s="1481" t="s">
        <v>2197</v>
      </c>
      <c r="D41" s="374">
        <v>50</v>
      </c>
    </row>
    <row r="42" spans="1:4" ht="15.95" customHeight="1">
      <c r="A42" s="1482" t="s">
        <v>2210</v>
      </c>
      <c r="B42" s="1485" t="s">
        <v>609</v>
      </c>
      <c r="C42" s="1481" t="s">
        <v>2197</v>
      </c>
      <c r="D42" s="374">
        <v>50</v>
      </c>
    </row>
    <row r="43" spans="1:4" ht="15.95" customHeight="1">
      <c r="A43" s="1482" t="s">
        <v>2211</v>
      </c>
      <c r="B43" s="1485" t="s">
        <v>1752</v>
      </c>
      <c r="C43" s="1481" t="s">
        <v>2197</v>
      </c>
      <c r="D43" s="374">
        <v>14000</v>
      </c>
    </row>
    <row r="44" spans="1:4" ht="15.95" customHeight="1">
      <c r="A44" s="1482" t="s">
        <v>2212</v>
      </c>
      <c r="B44" s="1485" t="s">
        <v>612</v>
      </c>
      <c r="C44" s="1481" t="s">
        <v>2197</v>
      </c>
      <c r="D44" s="374">
        <v>7820</v>
      </c>
    </row>
    <row r="45" spans="1:4" ht="15.95" customHeight="1">
      <c r="A45" s="1482" t="s">
        <v>2213</v>
      </c>
      <c r="B45" s="1485" t="s">
        <v>1240</v>
      </c>
      <c r="C45" s="1481" t="s">
        <v>2197</v>
      </c>
      <c r="D45" s="374">
        <v>150</v>
      </c>
    </row>
    <row r="46" spans="1:4" ht="15.95" customHeight="1">
      <c r="A46" s="1482" t="s">
        <v>2214</v>
      </c>
      <c r="B46" s="1485" t="s">
        <v>1244</v>
      </c>
      <c r="C46" s="1481" t="s">
        <v>2197</v>
      </c>
      <c r="D46" s="374">
        <v>400</v>
      </c>
    </row>
    <row r="47" spans="1:4" ht="15.95" customHeight="1">
      <c r="A47" s="1482" t="s">
        <v>2215</v>
      </c>
      <c r="B47" s="1485" t="s">
        <v>1880</v>
      </c>
      <c r="C47" s="1481" t="s">
        <v>2197</v>
      </c>
      <c r="D47" s="374">
        <v>130</v>
      </c>
    </row>
    <row r="48" spans="1:4" ht="15.95" customHeight="1">
      <c r="A48" s="1482" t="s">
        <v>2216</v>
      </c>
      <c r="B48" s="375" t="s">
        <v>2008</v>
      </c>
      <c r="C48" s="1481" t="s">
        <v>2197</v>
      </c>
      <c r="D48" s="374">
        <v>50</v>
      </c>
    </row>
    <row r="49" spans="1:4" ht="15.95" customHeight="1">
      <c r="A49" s="1482" t="s">
        <v>2217</v>
      </c>
      <c r="B49" s="375" t="s">
        <v>2009</v>
      </c>
      <c r="C49" s="1481" t="s">
        <v>2197</v>
      </c>
      <c r="D49" s="374">
        <v>100</v>
      </c>
    </row>
    <row r="50" spans="1:4" ht="15.95" customHeight="1">
      <c r="A50" s="1482" t="s">
        <v>2218</v>
      </c>
      <c r="B50" s="375" t="s">
        <v>2010</v>
      </c>
      <c r="C50" s="1481" t="s">
        <v>2197</v>
      </c>
      <c r="D50" s="374">
        <v>70</v>
      </c>
    </row>
    <row r="51" spans="1:4" ht="15.95" customHeight="1">
      <c r="A51" s="1482" t="s">
        <v>2219</v>
      </c>
      <c r="B51" s="375" t="s">
        <v>2011</v>
      </c>
      <c r="C51" s="1481" t="s">
        <v>2197</v>
      </c>
      <c r="D51" s="374">
        <v>110</v>
      </c>
    </row>
    <row r="52" spans="1:4" ht="15.95" customHeight="1">
      <c r="A52" s="1482" t="s">
        <v>2220</v>
      </c>
      <c r="B52" s="375" t="s">
        <v>2012</v>
      </c>
      <c r="C52" s="1481" t="s">
        <v>2197</v>
      </c>
      <c r="D52" s="374">
        <v>40</v>
      </c>
    </row>
    <row r="53" spans="1:4" ht="15.95" customHeight="1">
      <c r="A53" s="1482" t="s">
        <v>2221</v>
      </c>
      <c r="B53" s="375" t="s">
        <v>2013</v>
      </c>
      <c r="C53" s="1481" t="s">
        <v>2197</v>
      </c>
      <c r="D53" s="374">
        <v>100</v>
      </c>
    </row>
    <row r="54" spans="1:4" ht="15.95" customHeight="1">
      <c r="A54" s="1482" t="s">
        <v>2222</v>
      </c>
      <c r="B54" s="375" t="s">
        <v>2014</v>
      </c>
      <c r="C54" s="1481" t="s">
        <v>2197</v>
      </c>
      <c r="D54" s="374">
        <v>100</v>
      </c>
    </row>
    <row r="55" spans="1:4" ht="15.95" customHeight="1">
      <c r="A55" s="1482" t="s">
        <v>2223</v>
      </c>
      <c r="B55" s="375" t="s">
        <v>2015</v>
      </c>
      <c r="C55" s="1481" t="s">
        <v>2197</v>
      </c>
      <c r="D55" s="374">
        <v>155</v>
      </c>
    </row>
    <row r="56" spans="1:4" ht="15.95" customHeight="1">
      <c r="A56" s="1482" t="s">
        <v>2224</v>
      </c>
      <c r="B56" s="375" t="s">
        <v>2016</v>
      </c>
      <c r="C56" s="1481" t="s">
        <v>2197</v>
      </c>
      <c r="D56" s="374">
        <v>500</v>
      </c>
    </row>
    <row r="57" spans="1:4" ht="15.95" customHeight="1">
      <c r="A57" s="1482" t="s">
        <v>2225</v>
      </c>
      <c r="B57" s="375" t="s">
        <v>2017</v>
      </c>
      <c r="C57" s="1481" t="s">
        <v>2197</v>
      </c>
      <c r="D57" s="374">
        <v>200</v>
      </c>
    </row>
    <row r="58" spans="1:4" ht="15.95" customHeight="1">
      <c r="A58" s="1482" t="s">
        <v>2226</v>
      </c>
      <c r="B58" s="375" t="s">
        <v>2018</v>
      </c>
      <c r="C58" s="1481" t="s">
        <v>2197</v>
      </c>
      <c r="D58" s="374">
        <v>60</v>
      </c>
    </row>
    <row r="59" spans="1:4" ht="15.95" customHeight="1">
      <c r="A59" s="1482" t="s">
        <v>2227</v>
      </c>
      <c r="B59" s="375" t="s">
        <v>2019</v>
      </c>
      <c r="C59" s="1481" t="s">
        <v>2197</v>
      </c>
      <c r="D59" s="374">
        <v>80</v>
      </c>
    </row>
    <row r="60" spans="1:4" ht="15.95" customHeight="1">
      <c r="A60" s="1482" t="s">
        <v>2228</v>
      </c>
      <c r="B60" s="1487" t="s">
        <v>616</v>
      </c>
      <c r="C60" s="1481" t="s">
        <v>2197</v>
      </c>
      <c r="D60" s="1488">
        <f>SUM(D61:D77)-D64-D63</f>
        <v>36707</v>
      </c>
    </row>
    <row r="61" spans="1:4" ht="15.95" customHeight="1">
      <c r="A61" s="1482" t="s">
        <v>2229</v>
      </c>
      <c r="B61" s="373" t="s">
        <v>618</v>
      </c>
      <c r="C61" s="1481" t="s">
        <v>2197</v>
      </c>
      <c r="D61" s="374">
        <v>0</v>
      </c>
    </row>
    <row r="62" spans="1:4" ht="15.95" customHeight="1">
      <c r="A62" s="1482" t="s">
        <v>2230</v>
      </c>
      <c r="B62" s="373" t="s">
        <v>620</v>
      </c>
      <c r="C62" s="1481" t="s">
        <v>2197</v>
      </c>
      <c r="D62" s="374">
        <f t="shared" ref="D62" si="0">SUM(D63:D64)</f>
        <v>800</v>
      </c>
    </row>
    <row r="63" spans="1:4" ht="15.95" customHeight="1">
      <c r="A63" s="1482" t="s">
        <v>2231</v>
      </c>
      <c r="B63" s="382" t="s">
        <v>622</v>
      </c>
      <c r="C63" s="1481" t="s">
        <v>2197</v>
      </c>
      <c r="D63" s="383">
        <v>400</v>
      </c>
    </row>
    <row r="64" spans="1:4" ht="15.95" customHeight="1">
      <c r="A64" s="1482" t="s">
        <v>2232</v>
      </c>
      <c r="B64" s="382" t="s">
        <v>624</v>
      </c>
      <c r="C64" s="1481" t="s">
        <v>2197</v>
      </c>
      <c r="D64" s="383">
        <v>400</v>
      </c>
    </row>
    <row r="65" spans="1:4" ht="15.95" customHeight="1">
      <c r="A65" s="1482" t="s">
        <v>2233</v>
      </c>
      <c r="B65" s="373" t="s">
        <v>47</v>
      </c>
      <c r="C65" s="1481"/>
      <c r="D65" s="374">
        <v>0</v>
      </c>
    </row>
    <row r="66" spans="1:4" ht="15.95" customHeight="1">
      <c r="A66" s="1482" t="s">
        <v>2234</v>
      </c>
      <c r="B66" s="373" t="s">
        <v>627</v>
      </c>
      <c r="C66" s="1481" t="s">
        <v>2197</v>
      </c>
      <c r="D66" s="374">
        <v>2000</v>
      </c>
    </row>
    <row r="67" spans="1:4" ht="15.95" customHeight="1">
      <c r="A67" s="1482" t="s">
        <v>2255</v>
      </c>
      <c r="B67" s="375" t="s">
        <v>629</v>
      </c>
      <c r="C67" s="1481" t="s">
        <v>2197</v>
      </c>
      <c r="D67" s="374">
        <v>1500</v>
      </c>
    </row>
    <row r="68" spans="1:4" ht="15.95" customHeight="1">
      <c r="A68" s="1482" t="s">
        <v>2256</v>
      </c>
      <c r="B68" s="375" t="s">
        <v>631</v>
      </c>
      <c r="C68" s="1481" t="s">
        <v>2197</v>
      </c>
      <c r="D68" s="374">
        <v>2800</v>
      </c>
    </row>
    <row r="69" spans="1:4" ht="15.95" customHeight="1">
      <c r="A69" s="1482" t="s">
        <v>2257</v>
      </c>
      <c r="B69" s="375" t="s">
        <v>1281</v>
      </c>
      <c r="C69" s="1481" t="s">
        <v>2197</v>
      </c>
      <c r="D69" s="374">
        <v>500</v>
      </c>
    </row>
    <row r="70" spans="1:4" ht="15.95" customHeight="1">
      <c r="A70" s="1482" t="s">
        <v>2258</v>
      </c>
      <c r="B70" s="373" t="s">
        <v>1746</v>
      </c>
      <c r="C70" s="1481" t="s">
        <v>2197</v>
      </c>
      <c r="D70" s="374">
        <v>1000</v>
      </c>
    </row>
    <row r="71" spans="1:4" ht="15.95" customHeight="1">
      <c r="A71" s="1482" t="s">
        <v>2259</v>
      </c>
      <c r="B71" s="373" t="s">
        <v>637</v>
      </c>
      <c r="C71" s="1481" t="s">
        <v>2197</v>
      </c>
      <c r="D71" s="374">
        <v>750</v>
      </c>
    </row>
    <row r="72" spans="1:4" ht="15.95" customHeight="1">
      <c r="A72" s="1482" t="s">
        <v>2260</v>
      </c>
      <c r="B72" s="373" t="s">
        <v>639</v>
      </c>
      <c r="C72" s="1481" t="s">
        <v>2197</v>
      </c>
      <c r="D72" s="374">
        <v>308</v>
      </c>
    </row>
    <row r="73" spans="1:4" ht="15.95" customHeight="1">
      <c r="A73" s="1482" t="s">
        <v>2261</v>
      </c>
      <c r="B73" s="373" t="s">
        <v>641</v>
      </c>
      <c r="C73" s="1481" t="s">
        <v>2197</v>
      </c>
      <c r="D73" s="374">
        <v>774</v>
      </c>
    </row>
    <row r="74" spans="1:4" ht="15.95" customHeight="1">
      <c r="A74" s="1482" t="s">
        <v>2262</v>
      </c>
      <c r="B74" s="373" t="s">
        <v>643</v>
      </c>
      <c r="C74" s="1481" t="s">
        <v>2197</v>
      </c>
      <c r="D74" s="374">
        <v>370</v>
      </c>
    </row>
    <row r="75" spans="1:4" ht="15.95" customHeight="1">
      <c r="A75" s="1482" t="s">
        <v>2263</v>
      </c>
      <c r="B75" s="373" t="s">
        <v>645</v>
      </c>
      <c r="C75" s="1481" t="s">
        <v>2197</v>
      </c>
      <c r="D75" s="374">
        <v>298</v>
      </c>
    </row>
    <row r="76" spans="1:4" ht="21" customHeight="1">
      <c r="A76" s="1482" t="s">
        <v>2264</v>
      </c>
      <c r="B76" s="373" t="s">
        <v>1751</v>
      </c>
      <c r="C76" s="1481" t="s">
        <v>2197</v>
      </c>
      <c r="D76" s="374">
        <v>235</v>
      </c>
    </row>
    <row r="77" spans="1:4" ht="17.25" customHeight="1">
      <c r="A77" s="1482" t="s">
        <v>2265</v>
      </c>
      <c r="B77" s="373" t="s">
        <v>2000</v>
      </c>
      <c r="C77" s="1481" t="s">
        <v>2197</v>
      </c>
      <c r="D77" s="374">
        <v>25372</v>
      </c>
    </row>
    <row r="78" spans="1:4" ht="23.25" customHeight="1" thickBot="1">
      <c r="A78" s="1489"/>
      <c r="B78" s="1489" t="s">
        <v>1181</v>
      </c>
      <c r="C78" s="1489"/>
      <c r="D78" s="1489">
        <f>SUM(D60+D14+D2)</f>
        <v>152289</v>
      </c>
    </row>
  </sheetData>
  <sheetProtection selectLockedCells="1" selectUnlockedCells="1"/>
  <printOptions horizontalCentered="1"/>
  <pageMargins left="0.51181102362204722" right="0.23622047244094491" top="1.2598425196850394" bottom="0.70866141732283472" header="0.55118110236220474" footer="0.35433070866141736"/>
  <pageSetup paperSize="9" firstPageNumber="119" orientation="portrait" horizontalDpi="300" verticalDpi="300" r:id="rId1"/>
  <headerFooter alignWithMargins="0">
    <oddHeader>&amp;C&amp;"Times New Roman CE,Félkövér"&amp;14
Kimutatás Vecsés Város Önkormányzat 2013. évi céljellegű támogatásairól&amp;R&amp;"Arial,Normál"&amp;12 9. sz. melléklet
Ezer Ft</oddHeader>
    <oddFooter xml:space="preserve">&amp;C- &amp;P - </oddFooter>
  </headerFooter>
  <rowBreaks count="1" manualBreakCount="1">
    <brk id="78" max="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topLeftCell="A13" zoomScaleNormal="100" zoomScaleSheetLayoutView="100" workbookViewId="0">
      <selection activeCell="M23" sqref="M23"/>
    </sheetView>
  </sheetViews>
  <sheetFormatPr defaultColWidth="9.33203125" defaultRowHeight="12.75"/>
  <cols>
    <col min="1" max="1" width="6.83203125" style="1595" customWidth="1"/>
    <col min="2" max="2" width="49.6640625" style="1319" customWidth="1"/>
    <col min="3" max="4" width="12.83203125" style="1319" customWidth="1"/>
    <col min="5" max="5" width="14" style="1319" customWidth="1"/>
    <col min="6" max="6" width="15" style="1319" customWidth="1"/>
    <col min="7" max="7" width="12.83203125" style="1319" customWidth="1"/>
    <col min="8" max="8" width="13" style="1319" customWidth="1"/>
    <col min="9" max="9" width="13.83203125" style="1319" customWidth="1"/>
    <col min="10" max="10" width="9.33203125" style="1319" customWidth="1"/>
    <col min="11" max="11" width="11.83203125" style="1319" bestFit="1" customWidth="1"/>
    <col min="12" max="12" width="9.33203125" style="1319" customWidth="1"/>
    <col min="13" max="13" width="11.83203125" style="1319" bestFit="1" customWidth="1"/>
    <col min="14" max="256" width="9.33203125" style="1319"/>
    <col min="257" max="257" width="6.83203125" style="1319" customWidth="1"/>
    <col min="258" max="258" width="49.6640625" style="1319" customWidth="1"/>
    <col min="259" max="260" width="12.83203125" style="1319" customWidth="1"/>
    <col min="261" max="261" width="14" style="1319" customWidth="1"/>
    <col min="262" max="263" width="15" style="1319" customWidth="1"/>
    <col min="264" max="264" width="14.6640625" style="1319" customWidth="1"/>
    <col min="265" max="265" width="13.83203125" style="1319" customWidth="1"/>
    <col min="266" max="266" width="9.33203125" style="1319" customWidth="1"/>
    <col min="267" max="267" width="11.83203125" style="1319" bestFit="1" customWidth="1"/>
    <col min="268" max="268" width="9.33203125" style="1319" customWidth="1"/>
    <col min="269" max="269" width="11.83203125" style="1319" bestFit="1" customWidth="1"/>
    <col min="270" max="512" width="9.33203125" style="1319"/>
    <col min="513" max="513" width="6.83203125" style="1319" customWidth="1"/>
    <col min="514" max="514" width="49.6640625" style="1319" customWidth="1"/>
    <col min="515" max="516" width="12.83203125" style="1319" customWidth="1"/>
    <col min="517" max="517" width="14" style="1319" customWidth="1"/>
    <col min="518" max="519" width="15" style="1319" customWidth="1"/>
    <col min="520" max="520" width="14.6640625" style="1319" customWidth="1"/>
    <col min="521" max="521" width="13.83203125" style="1319" customWidth="1"/>
    <col min="522" max="522" width="9.33203125" style="1319" customWidth="1"/>
    <col min="523" max="523" width="11.83203125" style="1319" bestFit="1" customWidth="1"/>
    <col min="524" max="524" width="9.33203125" style="1319" customWidth="1"/>
    <col min="525" max="525" width="11.83203125" style="1319" bestFit="1" customWidth="1"/>
    <col min="526" max="768" width="9.33203125" style="1319"/>
    <col min="769" max="769" width="6.83203125" style="1319" customWidth="1"/>
    <col min="770" max="770" width="49.6640625" style="1319" customWidth="1"/>
    <col min="771" max="772" width="12.83203125" style="1319" customWidth="1"/>
    <col min="773" max="773" width="14" style="1319" customWidth="1"/>
    <col min="774" max="775" width="15" style="1319" customWidth="1"/>
    <col min="776" max="776" width="14.6640625" style="1319" customWidth="1"/>
    <col min="777" max="777" width="13.83203125" style="1319" customWidth="1"/>
    <col min="778" max="778" width="9.33203125" style="1319" customWidth="1"/>
    <col min="779" max="779" width="11.83203125" style="1319" bestFit="1" customWidth="1"/>
    <col min="780" max="780" width="9.33203125" style="1319" customWidth="1"/>
    <col min="781" max="781" width="11.83203125" style="1319" bestFit="1" customWidth="1"/>
    <col min="782" max="1024" width="9.33203125" style="1319"/>
    <col min="1025" max="1025" width="6.83203125" style="1319" customWidth="1"/>
    <col min="1026" max="1026" width="49.6640625" style="1319" customWidth="1"/>
    <col min="1027" max="1028" width="12.83203125" style="1319" customWidth="1"/>
    <col min="1029" max="1029" width="14" style="1319" customWidth="1"/>
    <col min="1030" max="1031" width="15" style="1319" customWidth="1"/>
    <col min="1032" max="1032" width="14.6640625" style="1319" customWidth="1"/>
    <col min="1033" max="1033" width="13.83203125" style="1319" customWidth="1"/>
    <col min="1034" max="1034" width="9.33203125" style="1319" customWidth="1"/>
    <col min="1035" max="1035" width="11.83203125" style="1319" bestFit="1" customWidth="1"/>
    <col min="1036" max="1036" width="9.33203125" style="1319" customWidth="1"/>
    <col min="1037" max="1037" width="11.83203125" style="1319" bestFit="1" customWidth="1"/>
    <col min="1038" max="1280" width="9.33203125" style="1319"/>
    <col min="1281" max="1281" width="6.83203125" style="1319" customWidth="1"/>
    <col min="1282" max="1282" width="49.6640625" style="1319" customWidth="1"/>
    <col min="1283" max="1284" width="12.83203125" style="1319" customWidth="1"/>
    <col min="1285" max="1285" width="14" style="1319" customWidth="1"/>
    <col min="1286" max="1287" width="15" style="1319" customWidth="1"/>
    <col min="1288" max="1288" width="14.6640625" style="1319" customWidth="1"/>
    <col min="1289" max="1289" width="13.83203125" style="1319" customWidth="1"/>
    <col min="1290" max="1290" width="9.33203125" style="1319" customWidth="1"/>
    <col min="1291" max="1291" width="11.83203125" style="1319" bestFit="1" customWidth="1"/>
    <col min="1292" max="1292" width="9.33203125" style="1319" customWidth="1"/>
    <col min="1293" max="1293" width="11.83203125" style="1319" bestFit="1" customWidth="1"/>
    <col min="1294" max="1536" width="9.33203125" style="1319"/>
    <col min="1537" max="1537" width="6.83203125" style="1319" customWidth="1"/>
    <col min="1538" max="1538" width="49.6640625" style="1319" customWidth="1"/>
    <col min="1539" max="1540" width="12.83203125" style="1319" customWidth="1"/>
    <col min="1541" max="1541" width="14" style="1319" customWidth="1"/>
    <col min="1542" max="1543" width="15" style="1319" customWidth="1"/>
    <col min="1544" max="1544" width="14.6640625" style="1319" customWidth="1"/>
    <col min="1545" max="1545" width="13.83203125" style="1319" customWidth="1"/>
    <col min="1546" max="1546" width="9.33203125" style="1319" customWidth="1"/>
    <col min="1547" max="1547" width="11.83203125" style="1319" bestFit="1" customWidth="1"/>
    <col min="1548" max="1548" width="9.33203125" style="1319" customWidth="1"/>
    <col min="1549" max="1549" width="11.83203125" style="1319" bestFit="1" customWidth="1"/>
    <col min="1550" max="1792" width="9.33203125" style="1319"/>
    <col min="1793" max="1793" width="6.83203125" style="1319" customWidth="1"/>
    <col min="1794" max="1794" width="49.6640625" style="1319" customWidth="1"/>
    <col min="1795" max="1796" width="12.83203125" style="1319" customWidth="1"/>
    <col min="1797" max="1797" width="14" style="1319" customWidth="1"/>
    <col min="1798" max="1799" width="15" style="1319" customWidth="1"/>
    <col min="1800" max="1800" width="14.6640625" style="1319" customWidth="1"/>
    <col min="1801" max="1801" width="13.83203125" style="1319" customWidth="1"/>
    <col min="1802" max="1802" width="9.33203125" style="1319" customWidth="1"/>
    <col min="1803" max="1803" width="11.83203125" style="1319" bestFit="1" customWidth="1"/>
    <col min="1804" max="1804" width="9.33203125" style="1319" customWidth="1"/>
    <col min="1805" max="1805" width="11.83203125" style="1319" bestFit="1" customWidth="1"/>
    <col min="1806" max="2048" width="9.33203125" style="1319"/>
    <col min="2049" max="2049" width="6.83203125" style="1319" customWidth="1"/>
    <col min="2050" max="2050" width="49.6640625" style="1319" customWidth="1"/>
    <col min="2051" max="2052" width="12.83203125" style="1319" customWidth="1"/>
    <col min="2053" max="2053" width="14" style="1319" customWidth="1"/>
    <col min="2054" max="2055" width="15" style="1319" customWidth="1"/>
    <col min="2056" max="2056" width="14.6640625" style="1319" customWidth="1"/>
    <col min="2057" max="2057" width="13.83203125" style="1319" customWidth="1"/>
    <col min="2058" max="2058" width="9.33203125" style="1319" customWidth="1"/>
    <col min="2059" max="2059" width="11.83203125" style="1319" bestFit="1" customWidth="1"/>
    <col min="2060" max="2060" width="9.33203125" style="1319" customWidth="1"/>
    <col min="2061" max="2061" width="11.83203125" style="1319" bestFit="1" customWidth="1"/>
    <col min="2062" max="2304" width="9.33203125" style="1319"/>
    <col min="2305" max="2305" width="6.83203125" style="1319" customWidth="1"/>
    <col min="2306" max="2306" width="49.6640625" style="1319" customWidth="1"/>
    <col min="2307" max="2308" width="12.83203125" style="1319" customWidth="1"/>
    <col min="2309" max="2309" width="14" style="1319" customWidth="1"/>
    <col min="2310" max="2311" width="15" style="1319" customWidth="1"/>
    <col min="2312" max="2312" width="14.6640625" style="1319" customWidth="1"/>
    <col min="2313" max="2313" width="13.83203125" style="1319" customWidth="1"/>
    <col min="2314" max="2314" width="9.33203125" style="1319" customWidth="1"/>
    <col min="2315" max="2315" width="11.83203125" style="1319" bestFit="1" customWidth="1"/>
    <col min="2316" max="2316" width="9.33203125" style="1319" customWidth="1"/>
    <col min="2317" max="2317" width="11.83203125" style="1319" bestFit="1" customWidth="1"/>
    <col min="2318" max="2560" width="9.33203125" style="1319"/>
    <col min="2561" max="2561" width="6.83203125" style="1319" customWidth="1"/>
    <col min="2562" max="2562" width="49.6640625" style="1319" customWidth="1"/>
    <col min="2563" max="2564" width="12.83203125" style="1319" customWidth="1"/>
    <col min="2565" max="2565" width="14" style="1319" customWidth="1"/>
    <col min="2566" max="2567" width="15" style="1319" customWidth="1"/>
    <col min="2568" max="2568" width="14.6640625" style="1319" customWidth="1"/>
    <col min="2569" max="2569" width="13.83203125" style="1319" customWidth="1"/>
    <col min="2570" max="2570" width="9.33203125" style="1319" customWidth="1"/>
    <col min="2571" max="2571" width="11.83203125" style="1319" bestFit="1" customWidth="1"/>
    <col min="2572" max="2572" width="9.33203125" style="1319" customWidth="1"/>
    <col min="2573" max="2573" width="11.83203125" style="1319" bestFit="1" customWidth="1"/>
    <col min="2574" max="2816" width="9.33203125" style="1319"/>
    <col min="2817" max="2817" width="6.83203125" style="1319" customWidth="1"/>
    <col min="2818" max="2818" width="49.6640625" style="1319" customWidth="1"/>
    <col min="2819" max="2820" width="12.83203125" style="1319" customWidth="1"/>
    <col min="2821" max="2821" width="14" style="1319" customWidth="1"/>
    <col min="2822" max="2823" width="15" style="1319" customWidth="1"/>
    <col min="2824" max="2824" width="14.6640625" style="1319" customWidth="1"/>
    <col min="2825" max="2825" width="13.83203125" style="1319" customWidth="1"/>
    <col min="2826" max="2826" width="9.33203125" style="1319" customWidth="1"/>
    <col min="2827" max="2827" width="11.83203125" style="1319" bestFit="1" customWidth="1"/>
    <col min="2828" max="2828" width="9.33203125" style="1319" customWidth="1"/>
    <col min="2829" max="2829" width="11.83203125" style="1319" bestFit="1" customWidth="1"/>
    <col min="2830" max="3072" width="9.33203125" style="1319"/>
    <col min="3073" max="3073" width="6.83203125" style="1319" customWidth="1"/>
    <col min="3074" max="3074" width="49.6640625" style="1319" customWidth="1"/>
    <col min="3075" max="3076" width="12.83203125" style="1319" customWidth="1"/>
    <col min="3077" max="3077" width="14" style="1319" customWidth="1"/>
    <col min="3078" max="3079" width="15" style="1319" customWidth="1"/>
    <col min="3080" max="3080" width="14.6640625" style="1319" customWidth="1"/>
    <col min="3081" max="3081" width="13.83203125" style="1319" customWidth="1"/>
    <col min="3082" max="3082" width="9.33203125" style="1319" customWidth="1"/>
    <col min="3083" max="3083" width="11.83203125" style="1319" bestFit="1" customWidth="1"/>
    <col min="3084" max="3084" width="9.33203125" style="1319" customWidth="1"/>
    <col min="3085" max="3085" width="11.83203125" style="1319" bestFit="1" customWidth="1"/>
    <col min="3086" max="3328" width="9.33203125" style="1319"/>
    <col min="3329" max="3329" width="6.83203125" style="1319" customWidth="1"/>
    <col min="3330" max="3330" width="49.6640625" style="1319" customWidth="1"/>
    <col min="3331" max="3332" width="12.83203125" style="1319" customWidth="1"/>
    <col min="3333" max="3333" width="14" style="1319" customWidth="1"/>
    <col min="3334" max="3335" width="15" style="1319" customWidth="1"/>
    <col min="3336" max="3336" width="14.6640625" style="1319" customWidth="1"/>
    <col min="3337" max="3337" width="13.83203125" style="1319" customWidth="1"/>
    <col min="3338" max="3338" width="9.33203125" style="1319" customWidth="1"/>
    <col min="3339" max="3339" width="11.83203125" style="1319" bestFit="1" customWidth="1"/>
    <col min="3340" max="3340" width="9.33203125" style="1319" customWidth="1"/>
    <col min="3341" max="3341" width="11.83203125" style="1319" bestFit="1" customWidth="1"/>
    <col min="3342" max="3584" width="9.33203125" style="1319"/>
    <col min="3585" max="3585" width="6.83203125" style="1319" customWidth="1"/>
    <col min="3586" max="3586" width="49.6640625" style="1319" customWidth="1"/>
    <col min="3587" max="3588" width="12.83203125" style="1319" customWidth="1"/>
    <col min="3589" max="3589" width="14" style="1319" customWidth="1"/>
    <col min="3590" max="3591" width="15" style="1319" customWidth="1"/>
    <col min="3592" max="3592" width="14.6640625" style="1319" customWidth="1"/>
    <col min="3593" max="3593" width="13.83203125" style="1319" customWidth="1"/>
    <col min="3594" max="3594" width="9.33203125" style="1319" customWidth="1"/>
    <col min="3595" max="3595" width="11.83203125" style="1319" bestFit="1" customWidth="1"/>
    <col min="3596" max="3596" width="9.33203125" style="1319" customWidth="1"/>
    <col min="3597" max="3597" width="11.83203125" style="1319" bestFit="1" customWidth="1"/>
    <col min="3598" max="3840" width="9.33203125" style="1319"/>
    <col min="3841" max="3841" width="6.83203125" style="1319" customWidth="1"/>
    <col min="3842" max="3842" width="49.6640625" style="1319" customWidth="1"/>
    <col min="3843" max="3844" width="12.83203125" style="1319" customWidth="1"/>
    <col min="3845" max="3845" width="14" style="1319" customWidth="1"/>
    <col min="3846" max="3847" width="15" style="1319" customWidth="1"/>
    <col min="3848" max="3848" width="14.6640625" style="1319" customWidth="1"/>
    <col min="3849" max="3849" width="13.83203125" style="1319" customWidth="1"/>
    <col min="3850" max="3850" width="9.33203125" style="1319" customWidth="1"/>
    <col min="3851" max="3851" width="11.83203125" style="1319" bestFit="1" customWidth="1"/>
    <col min="3852" max="3852" width="9.33203125" style="1319" customWidth="1"/>
    <col min="3853" max="3853" width="11.83203125" style="1319" bestFit="1" customWidth="1"/>
    <col min="3854" max="4096" width="9.33203125" style="1319"/>
    <col min="4097" max="4097" width="6.83203125" style="1319" customWidth="1"/>
    <col min="4098" max="4098" width="49.6640625" style="1319" customWidth="1"/>
    <col min="4099" max="4100" width="12.83203125" style="1319" customWidth="1"/>
    <col min="4101" max="4101" width="14" style="1319" customWidth="1"/>
    <col min="4102" max="4103" width="15" style="1319" customWidth="1"/>
    <col min="4104" max="4104" width="14.6640625" style="1319" customWidth="1"/>
    <col min="4105" max="4105" width="13.83203125" style="1319" customWidth="1"/>
    <col min="4106" max="4106" width="9.33203125" style="1319" customWidth="1"/>
    <col min="4107" max="4107" width="11.83203125" style="1319" bestFit="1" customWidth="1"/>
    <col min="4108" max="4108" width="9.33203125" style="1319" customWidth="1"/>
    <col min="4109" max="4109" width="11.83203125" style="1319" bestFit="1" customWidth="1"/>
    <col min="4110" max="4352" width="9.33203125" style="1319"/>
    <col min="4353" max="4353" width="6.83203125" style="1319" customWidth="1"/>
    <col min="4354" max="4354" width="49.6640625" style="1319" customWidth="1"/>
    <col min="4355" max="4356" width="12.83203125" style="1319" customWidth="1"/>
    <col min="4357" max="4357" width="14" style="1319" customWidth="1"/>
    <col min="4358" max="4359" width="15" style="1319" customWidth="1"/>
    <col min="4360" max="4360" width="14.6640625" style="1319" customWidth="1"/>
    <col min="4361" max="4361" width="13.83203125" style="1319" customWidth="1"/>
    <col min="4362" max="4362" width="9.33203125" style="1319" customWidth="1"/>
    <col min="4363" max="4363" width="11.83203125" style="1319" bestFit="1" customWidth="1"/>
    <col min="4364" max="4364" width="9.33203125" style="1319" customWidth="1"/>
    <col min="4365" max="4365" width="11.83203125" style="1319" bestFit="1" customWidth="1"/>
    <col min="4366" max="4608" width="9.33203125" style="1319"/>
    <col min="4609" max="4609" width="6.83203125" style="1319" customWidth="1"/>
    <col min="4610" max="4610" width="49.6640625" style="1319" customWidth="1"/>
    <col min="4611" max="4612" width="12.83203125" style="1319" customWidth="1"/>
    <col min="4613" max="4613" width="14" style="1319" customWidth="1"/>
    <col min="4614" max="4615" width="15" style="1319" customWidth="1"/>
    <col min="4616" max="4616" width="14.6640625" style="1319" customWidth="1"/>
    <col min="4617" max="4617" width="13.83203125" style="1319" customWidth="1"/>
    <col min="4618" max="4618" width="9.33203125" style="1319" customWidth="1"/>
    <col min="4619" max="4619" width="11.83203125" style="1319" bestFit="1" customWidth="1"/>
    <col min="4620" max="4620" width="9.33203125" style="1319" customWidth="1"/>
    <col min="4621" max="4621" width="11.83203125" style="1319" bestFit="1" customWidth="1"/>
    <col min="4622" max="4864" width="9.33203125" style="1319"/>
    <col min="4865" max="4865" width="6.83203125" style="1319" customWidth="1"/>
    <col min="4866" max="4866" width="49.6640625" style="1319" customWidth="1"/>
    <col min="4867" max="4868" width="12.83203125" style="1319" customWidth="1"/>
    <col min="4869" max="4869" width="14" style="1319" customWidth="1"/>
    <col min="4870" max="4871" width="15" style="1319" customWidth="1"/>
    <col min="4872" max="4872" width="14.6640625" style="1319" customWidth="1"/>
    <col min="4873" max="4873" width="13.83203125" style="1319" customWidth="1"/>
    <col min="4874" max="4874" width="9.33203125" style="1319" customWidth="1"/>
    <col min="4875" max="4875" width="11.83203125" style="1319" bestFit="1" customWidth="1"/>
    <col min="4876" max="4876" width="9.33203125" style="1319" customWidth="1"/>
    <col min="4877" max="4877" width="11.83203125" style="1319" bestFit="1" customWidth="1"/>
    <col min="4878" max="5120" width="9.33203125" style="1319"/>
    <col min="5121" max="5121" width="6.83203125" style="1319" customWidth="1"/>
    <col min="5122" max="5122" width="49.6640625" style="1319" customWidth="1"/>
    <col min="5123" max="5124" width="12.83203125" style="1319" customWidth="1"/>
    <col min="5125" max="5125" width="14" style="1319" customWidth="1"/>
    <col min="5126" max="5127" width="15" style="1319" customWidth="1"/>
    <col min="5128" max="5128" width="14.6640625" style="1319" customWidth="1"/>
    <col min="5129" max="5129" width="13.83203125" style="1319" customWidth="1"/>
    <col min="5130" max="5130" width="9.33203125" style="1319" customWidth="1"/>
    <col min="5131" max="5131" width="11.83203125" style="1319" bestFit="1" customWidth="1"/>
    <col min="5132" max="5132" width="9.33203125" style="1319" customWidth="1"/>
    <col min="5133" max="5133" width="11.83203125" style="1319" bestFit="1" customWidth="1"/>
    <col min="5134" max="5376" width="9.33203125" style="1319"/>
    <col min="5377" max="5377" width="6.83203125" style="1319" customWidth="1"/>
    <col min="5378" max="5378" width="49.6640625" style="1319" customWidth="1"/>
    <col min="5379" max="5380" width="12.83203125" style="1319" customWidth="1"/>
    <col min="5381" max="5381" width="14" style="1319" customWidth="1"/>
    <col min="5382" max="5383" width="15" style="1319" customWidth="1"/>
    <col min="5384" max="5384" width="14.6640625" style="1319" customWidth="1"/>
    <col min="5385" max="5385" width="13.83203125" style="1319" customWidth="1"/>
    <col min="5386" max="5386" width="9.33203125" style="1319" customWidth="1"/>
    <col min="5387" max="5387" width="11.83203125" style="1319" bestFit="1" customWidth="1"/>
    <col min="5388" max="5388" width="9.33203125" style="1319" customWidth="1"/>
    <col min="5389" max="5389" width="11.83203125" style="1319" bestFit="1" customWidth="1"/>
    <col min="5390" max="5632" width="9.33203125" style="1319"/>
    <col min="5633" max="5633" width="6.83203125" style="1319" customWidth="1"/>
    <col min="5634" max="5634" width="49.6640625" style="1319" customWidth="1"/>
    <col min="5635" max="5636" width="12.83203125" style="1319" customWidth="1"/>
    <col min="5637" max="5637" width="14" style="1319" customWidth="1"/>
    <col min="5638" max="5639" width="15" style="1319" customWidth="1"/>
    <col min="5640" max="5640" width="14.6640625" style="1319" customWidth="1"/>
    <col min="5641" max="5641" width="13.83203125" style="1319" customWidth="1"/>
    <col min="5642" max="5642" width="9.33203125" style="1319" customWidth="1"/>
    <col min="5643" max="5643" width="11.83203125" style="1319" bestFit="1" customWidth="1"/>
    <col min="5644" max="5644" width="9.33203125" style="1319" customWidth="1"/>
    <col min="5645" max="5645" width="11.83203125" style="1319" bestFit="1" customWidth="1"/>
    <col min="5646" max="5888" width="9.33203125" style="1319"/>
    <col min="5889" max="5889" width="6.83203125" style="1319" customWidth="1"/>
    <col min="5890" max="5890" width="49.6640625" style="1319" customWidth="1"/>
    <col min="5891" max="5892" width="12.83203125" style="1319" customWidth="1"/>
    <col min="5893" max="5893" width="14" style="1319" customWidth="1"/>
    <col min="5894" max="5895" width="15" style="1319" customWidth="1"/>
    <col min="5896" max="5896" width="14.6640625" style="1319" customWidth="1"/>
    <col min="5897" max="5897" width="13.83203125" style="1319" customWidth="1"/>
    <col min="5898" max="5898" width="9.33203125" style="1319" customWidth="1"/>
    <col min="5899" max="5899" width="11.83203125" style="1319" bestFit="1" customWidth="1"/>
    <col min="5900" max="5900" width="9.33203125" style="1319" customWidth="1"/>
    <col min="5901" max="5901" width="11.83203125" style="1319" bestFit="1" customWidth="1"/>
    <col min="5902" max="6144" width="9.33203125" style="1319"/>
    <col min="6145" max="6145" width="6.83203125" style="1319" customWidth="1"/>
    <col min="6146" max="6146" width="49.6640625" style="1319" customWidth="1"/>
    <col min="6147" max="6148" width="12.83203125" style="1319" customWidth="1"/>
    <col min="6149" max="6149" width="14" style="1319" customWidth="1"/>
    <col min="6150" max="6151" width="15" style="1319" customWidth="1"/>
    <col min="6152" max="6152" width="14.6640625" style="1319" customWidth="1"/>
    <col min="6153" max="6153" width="13.83203125" style="1319" customWidth="1"/>
    <col min="6154" max="6154" width="9.33203125" style="1319" customWidth="1"/>
    <col min="6155" max="6155" width="11.83203125" style="1319" bestFit="1" customWidth="1"/>
    <col min="6156" max="6156" width="9.33203125" style="1319" customWidth="1"/>
    <col min="6157" max="6157" width="11.83203125" style="1319" bestFit="1" customWidth="1"/>
    <col min="6158" max="6400" width="9.33203125" style="1319"/>
    <col min="6401" max="6401" width="6.83203125" style="1319" customWidth="1"/>
    <col min="6402" max="6402" width="49.6640625" style="1319" customWidth="1"/>
    <col min="6403" max="6404" width="12.83203125" style="1319" customWidth="1"/>
    <col min="6405" max="6405" width="14" style="1319" customWidth="1"/>
    <col min="6406" max="6407" width="15" style="1319" customWidth="1"/>
    <col min="6408" max="6408" width="14.6640625" style="1319" customWidth="1"/>
    <col min="6409" max="6409" width="13.83203125" style="1319" customWidth="1"/>
    <col min="6410" max="6410" width="9.33203125" style="1319" customWidth="1"/>
    <col min="6411" max="6411" width="11.83203125" style="1319" bestFit="1" customWidth="1"/>
    <col min="6412" max="6412" width="9.33203125" style="1319" customWidth="1"/>
    <col min="6413" max="6413" width="11.83203125" style="1319" bestFit="1" customWidth="1"/>
    <col min="6414" max="6656" width="9.33203125" style="1319"/>
    <col min="6657" max="6657" width="6.83203125" style="1319" customWidth="1"/>
    <col min="6658" max="6658" width="49.6640625" style="1319" customWidth="1"/>
    <col min="6659" max="6660" width="12.83203125" style="1319" customWidth="1"/>
    <col min="6661" max="6661" width="14" style="1319" customWidth="1"/>
    <col min="6662" max="6663" width="15" style="1319" customWidth="1"/>
    <col min="6664" max="6664" width="14.6640625" style="1319" customWidth="1"/>
    <col min="6665" max="6665" width="13.83203125" style="1319" customWidth="1"/>
    <col min="6666" max="6666" width="9.33203125" style="1319" customWidth="1"/>
    <col min="6667" max="6667" width="11.83203125" style="1319" bestFit="1" customWidth="1"/>
    <col min="6668" max="6668" width="9.33203125" style="1319" customWidth="1"/>
    <col min="6669" max="6669" width="11.83203125" style="1319" bestFit="1" customWidth="1"/>
    <col min="6670" max="6912" width="9.33203125" style="1319"/>
    <col min="6913" max="6913" width="6.83203125" style="1319" customWidth="1"/>
    <col min="6914" max="6914" width="49.6640625" style="1319" customWidth="1"/>
    <col min="6915" max="6916" width="12.83203125" style="1319" customWidth="1"/>
    <col min="6917" max="6917" width="14" style="1319" customWidth="1"/>
    <col min="6918" max="6919" width="15" style="1319" customWidth="1"/>
    <col min="6920" max="6920" width="14.6640625" style="1319" customWidth="1"/>
    <col min="6921" max="6921" width="13.83203125" style="1319" customWidth="1"/>
    <col min="6922" max="6922" width="9.33203125" style="1319" customWidth="1"/>
    <col min="6923" max="6923" width="11.83203125" style="1319" bestFit="1" customWidth="1"/>
    <col min="6924" max="6924" width="9.33203125" style="1319" customWidth="1"/>
    <col min="6925" max="6925" width="11.83203125" style="1319" bestFit="1" customWidth="1"/>
    <col min="6926" max="7168" width="9.33203125" style="1319"/>
    <col min="7169" max="7169" width="6.83203125" style="1319" customWidth="1"/>
    <col min="7170" max="7170" width="49.6640625" style="1319" customWidth="1"/>
    <col min="7171" max="7172" width="12.83203125" style="1319" customWidth="1"/>
    <col min="7173" max="7173" width="14" style="1319" customWidth="1"/>
    <col min="7174" max="7175" width="15" style="1319" customWidth="1"/>
    <col min="7176" max="7176" width="14.6640625" style="1319" customWidth="1"/>
    <col min="7177" max="7177" width="13.83203125" style="1319" customWidth="1"/>
    <col min="7178" max="7178" width="9.33203125" style="1319" customWidth="1"/>
    <col min="7179" max="7179" width="11.83203125" style="1319" bestFit="1" customWidth="1"/>
    <col min="7180" max="7180" width="9.33203125" style="1319" customWidth="1"/>
    <col min="7181" max="7181" width="11.83203125" style="1319" bestFit="1" customWidth="1"/>
    <col min="7182" max="7424" width="9.33203125" style="1319"/>
    <col min="7425" max="7425" width="6.83203125" style="1319" customWidth="1"/>
    <col min="7426" max="7426" width="49.6640625" style="1319" customWidth="1"/>
    <col min="7427" max="7428" width="12.83203125" style="1319" customWidth="1"/>
    <col min="7429" max="7429" width="14" style="1319" customWidth="1"/>
    <col min="7430" max="7431" width="15" style="1319" customWidth="1"/>
    <col min="7432" max="7432" width="14.6640625" style="1319" customWidth="1"/>
    <col min="7433" max="7433" width="13.83203125" style="1319" customWidth="1"/>
    <col min="7434" max="7434" width="9.33203125" style="1319" customWidth="1"/>
    <col min="7435" max="7435" width="11.83203125" style="1319" bestFit="1" customWidth="1"/>
    <col min="7436" max="7436" width="9.33203125" style="1319" customWidth="1"/>
    <col min="7437" max="7437" width="11.83203125" style="1319" bestFit="1" customWidth="1"/>
    <col min="7438" max="7680" width="9.33203125" style="1319"/>
    <col min="7681" max="7681" width="6.83203125" style="1319" customWidth="1"/>
    <col min="7682" max="7682" width="49.6640625" style="1319" customWidth="1"/>
    <col min="7683" max="7684" width="12.83203125" style="1319" customWidth="1"/>
    <col min="7685" max="7685" width="14" style="1319" customWidth="1"/>
    <col min="7686" max="7687" width="15" style="1319" customWidth="1"/>
    <col min="7688" max="7688" width="14.6640625" style="1319" customWidth="1"/>
    <col min="7689" max="7689" width="13.83203125" style="1319" customWidth="1"/>
    <col min="7690" max="7690" width="9.33203125" style="1319" customWidth="1"/>
    <col min="7691" max="7691" width="11.83203125" style="1319" bestFit="1" customWidth="1"/>
    <col min="7692" max="7692" width="9.33203125" style="1319" customWidth="1"/>
    <col min="7693" max="7693" width="11.83203125" style="1319" bestFit="1" customWidth="1"/>
    <col min="7694" max="7936" width="9.33203125" style="1319"/>
    <col min="7937" max="7937" width="6.83203125" style="1319" customWidth="1"/>
    <col min="7938" max="7938" width="49.6640625" style="1319" customWidth="1"/>
    <col min="7939" max="7940" width="12.83203125" style="1319" customWidth="1"/>
    <col min="7941" max="7941" width="14" style="1319" customWidth="1"/>
    <col min="7942" max="7943" width="15" style="1319" customWidth="1"/>
    <col min="7944" max="7944" width="14.6640625" style="1319" customWidth="1"/>
    <col min="7945" max="7945" width="13.83203125" style="1319" customWidth="1"/>
    <col min="7946" max="7946" width="9.33203125" style="1319" customWidth="1"/>
    <col min="7947" max="7947" width="11.83203125" style="1319" bestFit="1" customWidth="1"/>
    <col min="7948" max="7948" width="9.33203125" style="1319" customWidth="1"/>
    <col min="7949" max="7949" width="11.83203125" style="1319" bestFit="1" customWidth="1"/>
    <col min="7950" max="8192" width="9.33203125" style="1319"/>
    <col min="8193" max="8193" width="6.83203125" style="1319" customWidth="1"/>
    <col min="8194" max="8194" width="49.6640625" style="1319" customWidth="1"/>
    <col min="8195" max="8196" width="12.83203125" style="1319" customWidth="1"/>
    <col min="8197" max="8197" width="14" style="1319" customWidth="1"/>
    <col min="8198" max="8199" width="15" style="1319" customWidth="1"/>
    <col min="8200" max="8200" width="14.6640625" style="1319" customWidth="1"/>
    <col min="8201" max="8201" width="13.83203125" style="1319" customWidth="1"/>
    <col min="8202" max="8202" width="9.33203125" style="1319" customWidth="1"/>
    <col min="8203" max="8203" width="11.83203125" style="1319" bestFit="1" customWidth="1"/>
    <col min="8204" max="8204" width="9.33203125" style="1319" customWidth="1"/>
    <col min="8205" max="8205" width="11.83203125" style="1319" bestFit="1" customWidth="1"/>
    <col min="8206" max="8448" width="9.33203125" style="1319"/>
    <col min="8449" max="8449" width="6.83203125" style="1319" customWidth="1"/>
    <col min="8450" max="8450" width="49.6640625" style="1319" customWidth="1"/>
    <col min="8451" max="8452" width="12.83203125" style="1319" customWidth="1"/>
    <col min="8453" max="8453" width="14" style="1319" customWidth="1"/>
    <col min="8454" max="8455" width="15" style="1319" customWidth="1"/>
    <col min="8456" max="8456" width="14.6640625" style="1319" customWidth="1"/>
    <col min="8457" max="8457" width="13.83203125" style="1319" customWidth="1"/>
    <col min="8458" max="8458" width="9.33203125" style="1319" customWidth="1"/>
    <col min="8459" max="8459" width="11.83203125" style="1319" bestFit="1" customWidth="1"/>
    <col min="8460" max="8460" width="9.33203125" style="1319" customWidth="1"/>
    <col min="8461" max="8461" width="11.83203125" style="1319" bestFit="1" customWidth="1"/>
    <col min="8462" max="8704" width="9.33203125" style="1319"/>
    <col min="8705" max="8705" width="6.83203125" style="1319" customWidth="1"/>
    <col min="8706" max="8706" width="49.6640625" style="1319" customWidth="1"/>
    <col min="8707" max="8708" width="12.83203125" style="1319" customWidth="1"/>
    <col min="8709" max="8709" width="14" style="1319" customWidth="1"/>
    <col min="8710" max="8711" width="15" style="1319" customWidth="1"/>
    <col min="8712" max="8712" width="14.6640625" style="1319" customWidth="1"/>
    <col min="8713" max="8713" width="13.83203125" style="1319" customWidth="1"/>
    <col min="8714" max="8714" width="9.33203125" style="1319" customWidth="1"/>
    <col min="8715" max="8715" width="11.83203125" style="1319" bestFit="1" customWidth="1"/>
    <col min="8716" max="8716" width="9.33203125" style="1319" customWidth="1"/>
    <col min="8717" max="8717" width="11.83203125" style="1319" bestFit="1" customWidth="1"/>
    <col min="8718" max="8960" width="9.33203125" style="1319"/>
    <col min="8961" max="8961" width="6.83203125" style="1319" customWidth="1"/>
    <col min="8962" max="8962" width="49.6640625" style="1319" customWidth="1"/>
    <col min="8963" max="8964" width="12.83203125" style="1319" customWidth="1"/>
    <col min="8965" max="8965" width="14" style="1319" customWidth="1"/>
    <col min="8966" max="8967" width="15" style="1319" customWidth="1"/>
    <col min="8968" max="8968" width="14.6640625" style="1319" customWidth="1"/>
    <col min="8969" max="8969" width="13.83203125" style="1319" customWidth="1"/>
    <col min="8970" max="8970" width="9.33203125" style="1319" customWidth="1"/>
    <col min="8971" max="8971" width="11.83203125" style="1319" bestFit="1" customWidth="1"/>
    <col min="8972" max="8972" width="9.33203125" style="1319" customWidth="1"/>
    <col min="8973" max="8973" width="11.83203125" style="1319" bestFit="1" customWidth="1"/>
    <col min="8974" max="9216" width="9.33203125" style="1319"/>
    <col min="9217" max="9217" width="6.83203125" style="1319" customWidth="1"/>
    <col min="9218" max="9218" width="49.6640625" style="1319" customWidth="1"/>
    <col min="9219" max="9220" width="12.83203125" style="1319" customWidth="1"/>
    <col min="9221" max="9221" width="14" style="1319" customWidth="1"/>
    <col min="9222" max="9223" width="15" style="1319" customWidth="1"/>
    <col min="9224" max="9224" width="14.6640625" style="1319" customWidth="1"/>
    <col min="9225" max="9225" width="13.83203125" style="1319" customWidth="1"/>
    <col min="9226" max="9226" width="9.33203125" style="1319" customWidth="1"/>
    <col min="9227" max="9227" width="11.83203125" style="1319" bestFit="1" customWidth="1"/>
    <col min="9228" max="9228" width="9.33203125" style="1319" customWidth="1"/>
    <col min="9229" max="9229" width="11.83203125" style="1319" bestFit="1" customWidth="1"/>
    <col min="9230" max="9472" width="9.33203125" style="1319"/>
    <col min="9473" max="9473" width="6.83203125" style="1319" customWidth="1"/>
    <col min="9474" max="9474" width="49.6640625" style="1319" customWidth="1"/>
    <col min="9475" max="9476" width="12.83203125" style="1319" customWidth="1"/>
    <col min="9477" max="9477" width="14" style="1319" customWidth="1"/>
    <col min="9478" max="9479" width="15" style="1319" customWidth="1"/>
    <col min="9480" max="9480" width="14.6640625" style="1319" customWidth="1"/>
    <col min="9481" max="9481" width="13.83203125" style="1319" customWidth="1"/>
    <col min="9482" max="9482" width="9.33203125" style="1319" customWidth="1"/>
    <col min="9483" max="9483" width="11.83203125" style="1319" bestFit="1" customWidth="1"/>
    <col min="9484" max="9484" width="9.33203125" style="1319" customWidth="1"/>
    <col min="9485" max="9485" width="11.83203125" style="1319" bestFit="1" customWidth="1"/>
    <col min="9486" max="9728" width="9.33203125" style="1319"/>
    <col min="9729" max="9729" width="6.83203125" style="1319" customWidth="1"/>
    <col min="9730" max="9730" width="49.6640625" style="1319" customWidth="1"/>
    <col min="9731" max="9732" width="12.83203125" style="1319" customWidth="1"/>
    <col min="9733" max="9733" width="14" style="1319" customWidth="1"/>
    <col min="9734" max="9735" width="15" style="1319" customWidth="1"/>
    <col min="9736" max="9736" width="14.6640625" style="1319" customWidth="1"/>
    <col min="9737" max="9737" width="13.83203125" style="1319" customWidth="1"/>
    <col min="9738" max="9738" width="9.33203125" style="1319" customWidth="1"/>
    <col min="9739" max="9739" width="11.83203125" style="1319" bestFit="1" customWidth="1"/>
    <col min="9740" max="9740" width="9.33203125" style="1319" customWidth="1"/>
    <col min="9741" max="9741" width="11.83203125" style="1319" bestFit="1" customWidth="1"/>
    <col min="9742" max="9984" width="9.33203125" style="1319"/>
    <col min="9985" max="9985" width="6.83203125" style="1319" customWidth="1"/>
    <col min="9986" max="9986" width="49.6640625" style="1319" customWidth="1"/>
    <col min="9987" max="9988" width="12.83203125" style="1319" customWidth="1"/>
    <col min="9989" max="9989" width="14" style="1319" customWidth="1"/>
    <col min="9990" max="9991" width="15" style="1319" customWidth="1"/>
    <col min="9992" max="9992" width="14.6640625" style="1319" customWidth="1"/>
    <col min="9993" max="9993" width="13.83203125" style="1319" customWidth="1"/>
    <col min="9994" max="9994" width="9.33203125" style="1319" customWidth="1"/>
    <col min="9995" max="9995" width="11.83203125" style="1319" bestFit="1" customWidth="1"/>
    <col min="9996" max="9996" width="9.33203125" style="1319" customWidth="1"/>
    <col min="9997" max="9997" width="11.83203125" style="1319" bestFit="1" customWidth="1"/>
    <col min="9998" max="10240" width="9.33203125" style="1319"/>
    <col min="10241" max="10241" width="6.83203125" style="1319" customWidth="1"/>
    <col min="10242" max="10242" width="49.6640625" style="1319" customWidth="1"/>
    <col min="10243" max="10244" width="12.83203125" style="1319" customWidth="1"/>
    <col min="10245" max="10245" width="14" style="1319" customWidth="1"/>
    <col min="10246" max="10247" width="15" style="1319" customWidth="1"/>
    <col min="10248" max="10248" width="14.6640625" style="1319" customWidth="1"/>
    <col min="10249" max="10249" width="13.83203125" style="1319" customWidth="1"/>
    <col min="10250" max="10250" width="9.33203125" style="1319" customWidth="1"/>
    <col min="10251" max="10251" width="11.83203125" style="1319" bestFit="1" customWidth="1"/>
    <col min="10252" max="10252" width="9.33203125" style="1319" customWidth="1"/>
    <col min="10253" max="10253" width="11.83203125" style="1319" bestFit="1" customWidth="1"/>
    <col min="10254" max="10496" width="9.33203125" style="1319"/>
    <col min="10497" max="10497" width="6.83203125" style="1319" customWidth="1"/>
    <col min="10498" max="10498" width="49.6640625" style="1319" customWidth="1"/>
    <col min="10499" max="10500" width="12.83203125" style="1319" customWidth="1"/>
    <col min="10501" max="10501" width="14" style="1319" customWidth="1"/>
    <col min="10502" max="10503" width="15" style="1319" customWidth="1"/>
    <col min="10504" max="10504" width="14.6640625" style="1319" customWidth="1"/>
    <col min="10505" max="10505" width="13.83203125" style="1319" customWidth="1"/>
    <col min="10506" max="10506" width="9.33203125" style="1319" customWidth="1"/>
    <col min="10507" max="10507" width="11.83203125" style="1319" bestFit="1" customWidth="1"/>
    <col min="10508" max="10508" width="9.33203125" style="1319" customWidth="1"/>
    <col min="10509" max="10509" width="11.83203125" style="1319" bestFit="1" customWidth="1"/>
    <col min="10510" max="10752" width="9.33203125" style="1319"/>
    <col min="10753" max="10753" width="6.83203125" style="1319" customWidth="1"/>
    <col min="10754" max="10754" width="49.6640625" style="1319" customWidth="1"/>
    <col min="10755" max="10756" width="12.83203125" style="1319" customWidth="1"/>
    <col min="10757" max="10757" width="14" style="1319" customWidth="1"/>
    <col min="10758" max="10759" width="15" style="1319" customWidth="1"/>
    <col min="10760" max="10760" width="14.6640625" style="1319" customWidth="1"/>
    <col min="10761" max="10761" width="13.83203125" style="1319" customWidth="1"/>
    <col min="10762" max="10762" width="9.33203125" style="1319" customWidth="1"/>
    <col min="10763" max="10763" width="11.83203125" style="1319" bestFit="1" customWidth="1"/>
    <col min="10764" max="10764" width="9.33203125" style="1319" customWidth="1"/>
    <col min="10765" max="10765" width="11.83203125" style="1319" bestFit="1" customWidth="1"/>
    <col min="10766" max="11008" width="9.33203125" style="1319"/>
    <col min="11009" max="11009" width="6.83203125" style="1319" customWidth="1"/>
    <col min="11010" max="11010" width="49.6640625" style="1319" customWidth="1"/>
    <col min="11011" max="11012" width="12.83203125" style="1319" customWidth="1"/>
    <col min="11013" max="11013" width="14" style="1319" customWidth="1"/>
    <col min="11014" max="11015" width="15" style="1319" customWidth="1"/>
    <col min="11016" max="11016" width="14.6640625" style="1319" customWidth="1"/>
    <col min="11017" max="11017" width="13.83203125" style="1319" customWidth="1"/>
    <col min="11018" max="11018" width="9.33203125" style="1319" customWidth="1"/>
    <col min="11019" max="11019" width="11.83203125" style="1319" bestFit="1" customWidth="1"/>
    <col min="11020" max="11020" width="9.33203125" style="1319" customWidth="1"/>
    <col min="11021" max="11021" width="11.83203125" style="1319" bestFit="1" customWidth="1"/>
    <col min="11022" max="11264" width="9.33203125" style="1319"/>
    <col min="11265" max="11265" width="6.83203125" style="1319" customWidth="1"/>
    <col min="11266" max="11266" width="49.6640625" style="1319" customWidth="1"/>
    <col min="11267" max="11268" width="12.83203125" style="1319" customWidth="1"/>
    <col min="11269" max="11269" width="14" style="1319" customWidth="1"/>
    <col min="11270" max="11271" width="15" style="1319" customWidth="1"/>
    <col min="11272" max="11272" width="14.6640625" style="1319" customWidth="1"/>
    <col min="11273" max="11273" width="13.83203125" style="1319" customWidth="1"/>
    <col min="11274" max="11274" width="9.33203125" style="1319" customWidth="1"/>
    <col min="11275" max="11275" width="11.83203125" style="1319" bestFit="1" customWidth="1"/>
    <col min="11276" max="11276" width="9.33203125" style="1319" customWidth="1"/>
    <col min="11277" max="11277" width="11.83203125" style="1319" bestFit="1" customWidth="1"/>
    <col min="11278" max="11520" width="9.33203125" style="1319"/>
    <col min="11521" max="11521" width="6.83203125" style="1319" customWidth="1"/>
    <col min="11522" max="11522" width="49.6640625" style="1319" customWidth="1"/>
    <col min="11523" max="11524" width="12.83203125" style="1319" customWidth="1"/>
    <col min="11525" max="11525" width="14" style="1319" customWidth="1"/>
    <col min="11526" max="11527" width="15" style="1319" customWidth="1"/>
    <col min="11528" max="11528" width="14.6640625" style="1319" customWidth="1"/>
    <col min="11529" max="11529" width="13.83203125" style="1319" customWidth="1"/>
    <col min="11530" max="11530" width="9.33203125" style="1319" customWidth="1"/>
    <col min="11531" max="11531" width="11.83203125" style="1319" bestFit="1" customWidth="1"/>
    <col min="11532" max="11532" width="9.33203125" style="1319" customWidth="1"/>
    <col min="11533" max="11533" width="11.83203125" style="1319" bestFit="1" customWidth="1"/>
    <col min="11534" max="11776" width="9.33203125" style="1319"/>
    <col min="11777" max="11777" width="6.83203125" style="1319" customWidth="1"/>
    <col min="11778" max="11778" width="49.6640625" style="1319" customWidth="1"/>
    <col min="11779" max="11780" width="12.83203125" style="1319" customWidth="1"/>
    <col min="11781" max="11781" width="14" style="1319" customWidth="1"/>
    <col min="11782" max="11783" width="15" style="1319" customWidth="1"/>
    <col min="11784" max="11784" width="14.6640625" style="1319" customWidth="1"/>
    <col min="11785" max="11785" width="13.83203125" style="1319" customWidth="1"/>
    <col min="11786" max="11786" width="9.33203125" style="1319" customWidth="1"/>
    <col min="11787" max="11787" width="11.83203125" style="1319" bestFit="1" customWidth="1"/>
    <col min="11788" max="11788" width="9.33203125" style="1319" customWidth="1"/>
    <col min="11789" max="11789" width="11.83203125" style="1319" bestFit="1" customWidth="1"/>
    <col min="11790" max="12032" width="9.33203125" style="1319"/>
    <col min="12033" max="12033" width="6.83203125" style="1319" customWidth="1"/>
    <col min="12034" max="12034" width="49.6640625" style="1319" customWidth="1"/>
    <col min="12035" max="12036" width="12.83203125" style="1319" customWidth="1"/>
    <col min="12037" max="12037" width="14" style="1319" customWidth="1"/>
    <col min="12038" max="12039" width="15" style="1319" customWidth="1"/>
    <col min="12040" max="12040" width="14.6640625" style="1319" customWidth="1"/>
    <col min="12041" max="12041" width="13.83203125" style="1319" customWidth="1"/>
    <col min="12042" max="12042" width="9.33203125" style="1319" customWidth="1"/>
    <col min="12043" max="12043" width="11.83203125" style="1319" bestFit="1" customWidth="1"/>
    <col min="12044" max="12044" width="9.33203125" style="1319" customWidth="1"/>
    <col min="12045" max="12045" width="11.83203125" style="1319" bestFit="1" customWidth="1"/>
    <col min="12046" max="12288" width="9.33203125" style="1319"/>
    <col min="12289" max="12289" width="6.83203125" style="1319" customWidth="1"/>
    <col min="12290" max="12290" width="49.6640625" style="1319" customWidth="1"/>
    <col min="12291" max="12292" width="12.83203125" style="1319" customWidth="1"/>
    <col min="12293" max="12293" width="14" style="1319" customWidth="1"/>
    <col min="12294" max="12295" width="15" style="1319" customWidth="1"/>
    <col min="12296" max="12296" width="14.6640625" style="1319" customWidth="1"/>
    <col min="12297" max="12297" width="13.83203125" style="1319" customWidth="1"/>
    <col min="12298" max="12298" width="9.33203125" style="1319" customWidth="1"/>
    <col min="12299" max="12299" width="11.83203125" style="1319" bestFit="1" customWidth="1"/>
    <col min="12300" max="12300" width="9.33203125" style="1319" customWidth="1"/>
    <col min="12301" max="12301" width="11.83203125" style="1319" bestFit="1" customWidth="1"/>
    <col min="12302" max="12544" width="9.33203125" style="1319"/>
    <col min="12545" max="12545" width="6.83203125" style="1319" customWidth="1"/>
    <col min="12546" max="12546" width="49.6640625" style="1319" customWidth="1"/>
    <col min="12547" max="12548" width="12.83203125" style="1319" customWidth="1"/>
    <col min="12549" max="12549" width="14" style="1319" customWidth="1"/>
    <col min="12550" max="12551" width="15" style="1319" customWidth="1"/>
    <col min="12552" max="12552" width="14.6640625" style="1319" customWidth="1"/>
    <col min="12553" max="12553" width="13.83203125" style="1319" customWidth="1"/>
    <col min="12554" max="12554" width="9.33203125" style="1319" customWidth="1"/>
    <col min="12555" max="12555" width="11.83203125" style="1319" bestFit="1" customWidth="1"/>
    <col min="12556" max="12556" width="9.33203125" style="1319" customWidth="1"/>
    <col min="12557" max="12557" width="11.83203125" style="1319" bestFit="1" customWidth="1"/>
    <col min="12558" max="12800" width="9.33203125" style="1319"/>
    <col min="12801" max="12801" width="6.83203125" style="1319" customWidth="1"/>
    <col min="12802" max="12802" width="49.6640625" style="1319" customWidth="1"/>
    <col min="12803" max="12804" width="12.83203125" style="1319" customWidth="1"/>
    <col min="12805" max="12805" width="14" style="1319" customWidth="1"/>
    <col min="12806" max="12807" width="15" style="1319" customWidth="1"/>
    <col min="12808" max="12808" width="14.6640625" style="1319" customWidth="1"/>
    <col min="12809" max="12809" width="13.83203125" style="1319" customWidth="1"/>
    <col min="12810" max="12810" width="9.33203125" style="1319" customWidth="1"/>
    <col min="12811" max="12811" width="11.83203125" style="1319" bestFit="1" customWidth="1"/>
    <col min="12812" max="12812" width="9.33203125" style="1319" customWidth="1"/>
    <col min="12813" max="12813" width="11.83203125" style="1319" bestFit="1" customWidth="1"/>
    <col min="12814" max="13056" width="9.33203125" style="1319"/>
    <col min="13057" max="13057" width="6.83203125" style="1319" customWidth="1"/>
    <col min="13058" max="13058" width="49.6640625" style="1319" customWidth="1"/>
    <col min="13059" max="13060" width="12.83203125" style="1319" customWidth="1"/>
    <col min="13061" max="13061" width="14" style="1319" customWidth="1"/>
    <col min="13062" max="13063" width="15" style="1319" customWidth="1"/>
    <col min="13064" max="13064" width="14.6640625" style="1319" customWidth="1"/>
    <col min="13065" max="13065" width="13.83203125" style="1319" customWidth="1"/>
    <col min="13066" max="13066" width="9.33203125" style="1319" customWidth="1"/>
    <col min="13067" max="13067" width="11.83203125" style="1319" bestFit="1" customWidth="1"/>
    <col min="13068" max="13068" width="9.33203125" style="1319" customWidth="1"/>
    <col min="13069" max="13069" width="11.83203125" style="1319" bestFit="1" customWidth="1"/>
    <col min="13070" max="13312" width="9.33203125" style="1319"/>
    <col min="13313" max="13313" width="6.83203125" style="1319" customWidth="1"/>
    <col min="13314" max="13314" width="49.6640625" style="1319" customWidth="1"/>
    <col min="13315" max="13316" width="12.83203125" style="1319" customWidth="1"/>
    <col min="13317" max="13317" width="14" style="1319" customWidth="1"/>
    <col min="13318" max="13319" width="15" style="1319" customWidth="1"/>
    <col min="13320" max="13320" width="14.6640625" style="1319" customWidth="1"/>
    <col min="13321" max="13321" width="13.83203125" style="1319" customWidth="1"/>
    <col min="13322" max="13322" width="9.33203125" style="1319" customWidth="1"/>
    <col min="13323" max="13323" width="11.83203125" style="1319" bestFit="1" customWidth="1"/>
    <col min="13324" max="13324" width="9.33203125" style="1319" customWidth="1"/>
    <col min="13325" max="13325" width="11.83203125" style="1319" bestFit="1" customWidth="1"/>
    <col min="13326" max="13568" width="9.33203125" style="1319"/>
    <col min="13569" max="13569" width="6.83203125" style="1319" customWidth="1"/>
    <col min="13570" max="13570" width="49.6640625" style="1319" customWidth="1"/>
    <col min="13571" max="13572" width="12.83203125" style="1319" customWidth="1"/>
    <col min="13573" max="13573" width="14" style="1319" customWidth="1"/>
    <col min="13574" max="13575" width="15" style="1319" customWidth="1"/>
    <col min="13576" max="13576" width="14.6640625" style="1319" customWidth="1"/>
    <col min="13577" max="13577" width="13.83203125" style="1319" customWidth="1"/>
    <col min="13578" max="13578" width="9.33203125" style="1319" customWidth="1"/>
    <col min="13579" max="13579" width="11.83203125" style="1319" bestFit="1" customWidth="1"/>
    <col min="13580" max="13580" width="9.33203125" style="1319" customWidth="1"/>
    <col min="13581" max="13581" width="11.83203125" style="1319" bestFit="1" customWidth="1"/>
    <col min="13582" max="13824" width="9.33203125" style="1319"/>
    <col min="13825" max="13825" width="6.83203125" style="1319" customWidth="1"/>
    <col min="13826" max="13826" width="49.6640625" style="1319" customWidth="1"/>
    <col min="13827" max="13828" width="12.83203125" style="1319" customWidth="1"/>
    <col min="13829" max="13829" width="14" style="1319" customWidth="1"/>
    <col min="13830" max="13831" width="15" style="1319" customWidth="1"/>
    <col min="13832" max="13832" width="14.6640625" style="1319" customWidth="1"/>
    <col min="13833" max="13833" width="13.83203125" style="1319" customWidth="1"/>
    <col min="13834" max="13834" width="9.33203125" style="1319" customWidth="1"/>
    <col min="13835" max="13835" width="11.83203125" style="1319" bestFit="1" customWidth="1"/>
    <col min="13836" max="13836" width="9.33203125" style="1319" customWidth="1"/>
    <col min="13837" max="13837" width="11.83203125" style="1319" bestFit="1" customWidth="1"/>
    <col min="13838" max="14080" width="9.33203125" style="1319"/>
    <col min="14081" max="14081" width="6.83203125" style="1319" customWidth="1"/>
    <col min="14082" max="14082" width="49.6640625" style="1319" customWidth="1"/>
    <col min="14083" max="14084" width="12.83203125" style="1319" customWidth="1"/>
    <col min="14085" max="14085" width="14" style="1319" customWidth="1"/>
    <col min="14086" max="14087" width="15" style="1319" customWidth="1"/>
    <col min="14088" max="14088" width="14.6640625" style="1319" customWidth="1"/>
    <col min="14089" max="14089" width="13.83203125" style="1319" customWidth="1"/>
    <col min="14090" max="14090" width="9.33203125" style="1319" customWidth="1"/>
    <col min="14091" max="14091" width="11.83203125" style="1319" bestFit="1" customWidth="1"/>
    <col min="14092" max="14092" width="9.33203125" style="1319" customWidth="1"/>
    <col min="14093" max="14093" width="11.83203125" style="1319" bestFit="1" customWidth="1"/>
    <col min="14094" max="14336" width="9.33203125" style="1319"/>
    <col min="14337" max="14337" width="6.83203125" style="1319" customWidth="1"/>
    <col min="14338" max="14338" width="49.6640625" style="1319" customWidth="1"/>
    <col min="14339" max="14340" width="12.83203125" style="1319" customWidth="1"/>
    <col min="14341" max="14341" width="14" style="1319" customWidth="1"/>
    <col min="14342" max="14343" width="15" style="1319" customWidth="1"/>
    <col min="14344" max="14344" width="14.6640625" style="1319" customWidth="1"/>
    <col min="14345" max="14345" width="13.83203125" style="1319" customWidth="1"/>
    <col min="14346" max="14346" width="9.33203125" style="1319" customWidth="1"/>
    <col min="14347" max="14347" width="11.83203125" style="1319" bestFit="1" customWidth="1"/>
    <col min="14348" max="14348" width="9.33203125" style="1319" customWidth="1"/>
    <col min="14349" max="14349" width="11.83203125" style="1319" bestFit="1" customWidth="1"/>
    <col min="14350" max="14592" width="9.33203125" style="1319"/>
    <col min="14593" max="14593" width="6.83203125" style="1319" customWidth="1"/>
    <col min="14594" max="14594" width="49.6640625" style="1319" customWidth="1"/>
    <col min="14595" max="14596" width="12.83203125" style="1319" customWidth="1"/>
    <col min="14597" max="14597" width="14" style="1319" customWidth="1"/>
    <col min="14598" max="14599" width="15" style="1319" customWidth="1"/>
    <col min="14600" max="14600" width="14.6640625" style="1319" customWidth="1"/>
    <col min="14601" max="14601" width="13.83203125" style="1319" customWidth="1"/>
    <col min="14602" max="14602" width="9.33203125" style="1319" customWidth="1"/>
    <col min="14603" max="14603" width="11.83203125" style="1319" bestFit="1" customWidth="1"/>
    <col min="14604" max="14604" width="9.33203125" style="1319" customWidth="1"/>
    <col min="14605" max="14605" width="11.83203125" style="1319" bestFit="1" customWidth="1"/>
    <col min="14606" max="14848" width="9.33203125" style="1319"/>
    <col min="14849" max="14849" width="6.83203125" style="1319" customWidth="1"/>
    <col min="14850" max="14850" width="49.6640625" style="1319" customWidth="1"/>
    <col min="14851" max="14852" width="12.83203125" style="1319" customWidth="1"/>
    <col min="14853" max="14853" width="14" style="1319" customWidth="1"/>
    <col min="14854" max="14855" width="15" style="1319" customWidth="1"/>
    <col min="14856" max="14856" width="14.6640625" style="1319" customWidth="1"/>
    <col min="14857" max="14857" width="13.83203125" style="1319" customWidth="1"/>
    <col min="14858" max="14858" width="9.33203125" style="1319" customWidth="1"/>
    <col min="14859" max="14859" width="11.83203125" style="1319" bestFit="1" customWidth="1"/>
    <col min="14860" max="14860" width="9.33203125" style="1319" customWidth="1"/>
    <col min="14861" max="14861" width="11.83203125" style="1319" bestFit="1" customWidth="1"/>
    <col min="14862" max="15104" width="9.33203125" style="1319"/>
    <col min="15105" max="15105" width="6.83203125" style="1319" customWidth="1"/>
    <col min="15106" max="15106" width="49.6640625" style="1319" customWidth="1"/>
    <col min="15107" max="15108" width="12.83203125" style="1319" customWidth="1"/>
    <col min="15109" max="15109" width="14" style="1319" customWidth="1"/>
    <col min="15110" max="15111" width="15" style="1319" customWidth="1"/>
    <col min="15112" max="15112" width="14.6640625" style="1319" customWidth="1"/>
    <col min="15113" max="15113" width="13.83203125" style="1319" customWidth="1"/>
    <col min="15114" max="15114" width="9.33203125" style="1319" customWidth="1"/>
    <col min="15115" max="15115" width="11.83203125" style="1319" bestFit="1" customWidth="1"/>
    <col min="15116" max="15116" width="9.33203125" style="1319" customWidth="1"/>
    <col min="15117" max="15117" width="11.83203125" style="1319" bestFit="1" customWidth="1"/>
    <col min="15118" max="15360" width="9.33203125" style="1319"/>
    <col min="15361" max="15361" width="6.83203125" style="1319" customWidth="1"/>
    <col min="15362" max="15362" width="49.6640625" style="1319" customWidth="1"/>
    <col min="15363" max="15364" width="12.83203125" style="1319" customWidth="1"/>
    <col min="15365" max="15365" width="14" style="1319" customWidth="1"/>
    <col min="15366" max="15367" width="15" style="1319" customWidth="1"/>
    <col min="15368" max="15368" width="14.6640625" style="1319" customWidth="1"/>
    <col min="15369" max="15369" width="13.83203125" style="1319" customWidth="1"/>
    <col min="15370" max="15370" width="9.33203125" style="1319" customWidth="1"/>
    <col min="15371" max="15371" width="11.83203125" style="1319" bestFit="1" customWidth="1"/>
    <col min="15372" max="15372" width="9.33203125" style="1319" customWidth="1"/>
    <col min="15373" max="15373" width="11.83203125" style="1319" bestFit="1" customWidth="1"/>
    <col min="15374" max="15616" width="9.33203125" style="1319"/>
    <col min="15617" max="15617" width="6.83203125" style="1319" customWidth="1"/>
    <col min="15618" max="15618" width="49.6640625" style="1319" customWidth="1"/>
    <col min="15619" max="15620" width="12.83203125" style="1319" customWidth="1"/>
    <col min="15621" max="15621" width="14" style="1319" customWidth="1"/>
    <col min="15622" max="15623" width="15" style="1319" customWidth="1"/>
    <col min="15624" max="15624" width="14.6640625" style="1319" customWidth="1"/>
    <col min="15625" max="15625" width="13.83203125" style="1319" customWidth="1"/>
    <col min="15626" max="15626" width="9.33203125" style="1319" customWidth="1"/>
    <col min="15627" max="15627" width="11.83203125" style="1319" bestFit="1" customWidth="1"/>
    <col min="15628" max="15628" width="9.33203125" style="1319" customWidth="1"/>
    <col min="15629" max="15629" width="11.83203125" style="1319" bestFit="1" customWidth="1"/>
    <col min="15630" max="15872" width="9.33203125" style="1319"/>
    <col min="15873" max="15873" width="6.83203125" style="1319" customWidth="1"/>
    <col min="15874" max="15874" width="49.6640625" style="1319" customWidth="1"/>
    <col min="15875" max="15876" width="12.83203125" style="1319" customWidth="1"/>
    <col min="15877" max="15877" width="14" style="1319" customWidth="1"/>
    <col min="15878" max="15879" width="15" style="1319" customWidth="1"/>
    <col min="15880" max="15880" width="14.6640625" style="1319" customWidth="1"/>
    <col min="15881" max="15881" width="13.83203125" style="1319" customWidth="1"/>
    <col min="15882" max="15882" width="9.33203125" style="1319" customWidth="1"/>
    <col min="15883" max="15883" width="11.83203125" style="1319" bestFit="1" customWidth="1"/>
    <col min="15884" max="15884" width="9.33203125" style="1319" customWidth="1"/>
    <col min="15885" max="15885" width="11.83203125" style="1319" bestFit="1" customWidth="1"/>
    <col min="15886" max="16128" width="9.33203125" style="1319"/>
    <col min="16129" max="16129" width="6.83203125" style="1319" customWidth="1"/>
    <col min="16130" max="16130" width="49.6640625" style="1319" customWidth="1"/>
    <col min="16131" max="16132" width="12.83203125" style="1319" customWidth="1"/>
    <col min="16133" max="16133" width="14" style="1319" customWidth="1"/>
    <col min="16134" max="16135" width="15" style="1319" customWidth="1"/>
    <col min="16136" max="16136" width="14.6640625" style="1319" customWidth="1"/>
    <col min="16137" max="16137" width="13.83203125" style="1319" customWidth="1"/>
    <col min="16138" max="16138" width="9.33203125" style="1319" customWidth="1"/>
    <col min="16139" max="16139" width="11.83203125" style="1319" bestFit="1" customWidth="1"/>
    <col min="16140" max="16140" width="9.33203125" style="1319" customWidth="1"/>
    <col min="16141" max="16141" width="11.83203125" style="1319" bestFit="1" customWidth="1"/>
    <col min="16142" max="16384" width="9.33203125" style="1319"/>
  </cols>
  <sheetData>
    <row r="1" spans="1:13" ht="15" customHeight="1" thickBot="1">
      <c r="I1" s="1320" t="s">
        <v>2091</v>
      </c>
    </row>
    <row r="2" spans="1:13" s="1321" customFormat="1" ht="26.25" customHeight="1">
      <c r="A2" s="1991" t="s">
        <v>195</v>
      </c>
      <c r="B2" s="1989" t="s">
        <v>2092</v>
      </c>
      <c r="C2" s="1991" t="s">
        <v>2093</v>
      </c>
      <c r="D2" s="1991" t="s">
        <v>2094</v>
      </c>
      <c r="E2" s="1993"/>
      <c r="F2" s="1993"/>
      <c r="G2" s="1993"/>
      <c r="H2" s="1994"/>
      <c r="I2" s="1989" t="s">
        <v>2095</v>
      </c>
    </row>
    <row r="3" spans="1:13" s="1322" customFormat="1" ht="38.25" customHeight="1" thickBot="1">
      <c r="A3" s="1992"/>
      <c r="B3" s="1990"/>
      <c r="C3" s="1990"/>
      <c r="D3" s="1992"/>
      <c r="E3" s="1725">
        <v>2013</v>
      </c>
      <c r="F3" s="1725">
        <v>2014</v>
      </c>
      <c r="G3" s="1725">
        <v>2015</v>
      </c>
      <c r="H3" s="1726" t="s">
        <v>2070</v>
      </c>
      <c r="I3" s="1990"/>
    </row>
    <row r="4" spans="1:13" s="1328" customFormat="1" ht="36.75" customHeight="1" thickBot="1">
      <c r="A4" s="1323">
        <v>1</v>
      </c>
      <c r="B4" s="1324">
        <v>2</v>
      </c>
      <c r="C4" s="1325">
        <v>3</v>
      </c>
      <c r="D4" s="1324">
        <v>4</v>
      </c>
      <c r="E4" s="1323">
        <v>5</v>
      </c>
      <c r="F4" s="1325">
        <v>6</v>
      </c>
      <c r="G4" s="1325">
        <v>7</v>
      </c>
      <c r="H4" s="1326">
        <v>8</v>
      </c>
      <c r="I4" s="1327" t="s">
        <v>2096</v>
      </c>
    </row>
    <row r="5" spans="1:13" s="1337" customFormat="1" ht="30" customHeight="1" thickBot="1">
      <c r="A5" s="1329" t="s">
        <v>4</v>
      </c>
      <c r="B5" s="1330" t="s">
        <v>2097</v>
      </c>
      <c r="C5" s="1331"/>
      <c r="D5" s="1332">
        <f>SUM(D6:D6)</f>
        <v>0</v>
      </c>
      <c r="E5" s="1333">
        <f>SUM(E6:E6)</f>
        <v>0</v>
      </c>
      <c r="F5" s="1333">
        <f>SUM(F6:F6)</f>
        <v>0</v>
      </c>
      <c r="G5" s="1334"/>
      <c r="H5" s="1335">
        <f>SUM(H6:H6)</f>
        <v>0</v>
      </c>
      <c r="I5" s="1336">
        <f t="shared" ref="I5:I10" si="0">SUM(D5:H5)</f>
        <v>0</v>
      </c>
    </row>
    <row r="6" spans="1:13" s="1337" customFormat="1" ht="20.100000000000001" customHeight="1" thickBot="1">
      <c r="A6" s="1727" t="s">
        <v>5</v>
      </c>
      <c r="B6" s="1728"/>
      <c r="C6" s="1338"/>
      <c r="D6" s="1732"/>
      <c r="E6" s="1339"/>
      <c r="F6" s="1339"/>
      <c r="G6" s="1733"/>
      <c r="H6" s="1731"/>
      <c r="I6" s="1734">
        <f t="shared" si="0"/>
        <v>0</v>
      </c>
    </row>
    <row r="7" spans="1:13" s="1337" customFormat="1" ht="36.75" customHeight="1" thickBot="1">
      <c r="A7" s="1329" t="s">
        <v>19</v>
      </c>
      <c r="B7" s="1340" t="s">
        <v>2098</v>
      </c>
      <c r="C7" s="1341"/>
      <c r="D7" s="1342">
        <f>SUM(D8:D12)</f>
        <v>319634</v>
      </c>
      <c r="E7" s="1342">
        <f>SUM(E8:E12)</f>
        <v>109348</v>
      </c>
      <c r="F7" s="1342">
        <f>SUM(F8:F12)</f>
        <v>12020</v>
      </c>
      <c r="G7" s="1342">
        <f>SUM(G8:G12)</f>
        <v>0</v>
      </c>
      <c r="H7" s="1342">
        <f>SUM(H8:H12)</f>
        <v>0</v>
      </c>
      <c r="I7" s="1343">
        <f t="shared" si="0"/>
        <v>441002</v>
      </c>
    </row>
    <row r="8" spans="1:13" s="1337" customFormat="1" ht="35.25" customHeight="1" thickBot="1">
      <c r="A8" s="1329" t="s">
        <v>149</v>
      </c>
      <c r="B8" s="1735" t="s">
        <v>2071</v>
      </c>
      <c r="C8" s="1344">
        <v>2010</v>
      </c>
      <c r="D8" s="1736">
        <v>17937</v>
      </c>
      <c r="E8" s="1737">
        <v>12548</v>
      </c>
      <c r="F8" s="1737">
        <v>4150</v>
      </c>
      <c r="G8" s="1737">
        <v>0</v>
      </c>
      <c r="H8" s="1737">
        <v>0</v>
      </c>
      <c r="I8" s="1738">
        <f>SUM(D8:H8)</f>
        <v>34635</v>
      </c>
      <c r="K8" s="1337">
        <v>4035252</v>
      </c>
      <c r="M8" s="1337" t="e">
        <f>SUM(K8-#REF!)</f>
        <v>#REF!</v>
      </c>
    </row>
    <row r="9" spans="1:13" s="1337" customFormat="1" ht="37.5" customHeight="1" thickBot="1">
      <c r="A9" s="1329" t="s">
        <v>38</v>
      </c>
      <c r="B9" s="1735" t="s">
        <v>2072</v>
      </c>
      <c r="C9" s="1739">
        <v>2011</v>
      </c>
      <c r="D9" s="1345">
        <v>25760</v>
      </c>
      <c r="E9" s="1740">
        <v>18625</v>
      </c>
      <c r="F9" s="1740">
        <v>2125</v>
      </c>
      <c r="G9" s="1737">
        <v>0</v>
      </c>
      <c r="H9" s="1740">
        <v>0</v>
      </c>
      <c r="I9" s="1738">
        <f t="shared" si="0"/>
        <v>46510</v>
      </c>
    </row>
    <row r="10" spans="1:13" s="1337" customFormat="1" ht="27" customHeight="1" thickBot="1">
      <c r="A10" s="1329" t="s">
        <v>48</v>
      </c>
      <c r="B10" s="1346" t="s">
        <v>2099</v>
      </c>
      <c r="C10" s="1347">
        <v>2007</v>
      </c>
      <c r="D10" s="1348">
        <v>35668</v>
      </c>
      <c r="E10" s="1741">
        <v>5250</v>
      </c>
      <c r="F10" s="1741">
        <v>1900</v>
      </c>
      <c r="G10" s="1742">
        <v>0</v>
      </c>
      <c r="H10" s="1742">
        <v>0</v>
      </c>
      <c r="I10" s="1738">
        <f t="shared" si="0"/>
        <v>42818</v>
      </c>
    </row>
    <row r="11" spans="1:13" s="1337" customFormat="1" ht="27" customHeight="1" thickBot="1">
      <c r="A11" s="1329" t="s">
        <v>178</v>
      </c>
      <c r="B11" s="1346" t="s">
        <v>2100</v>
      </c>
      <c r="C11" s="1347">
        <v>2008</v>
      </c>
      <c r="D11" s="1348">
        <v>210922</v>
      </c>
      <c r="E11" s="1349">
        <v>64050</v>
      </c>
      <c r="F11" s="1349">
        <v>1715</v>
      </c>
      <c r="G11" s="1350">
        <v>0</v>
      </c>
      <c r="H11" s="1351">
        <v>0</v>
      </c>
      <c r="I11" s="1738">
        <f>SUM(D11:H11)</f>
        <v>276687</v>
      </c>
    </row>
    <row r="12" spans="1:13" s="1337" customFormat="1" ht="31.5" customHeight="1" thickBot="1">
      <c r="A12" s="1329" t="s">
        <v>74</v>
      </c>
      <c r="B12" s="1346" t="s">
        <v>2075</v>
      </c>
      <c r="C12" s="1347">
        <v>2008</v>
      </c>
      <c r="D12" s="1348">
        <v>29347</v>
      </c>
      <c r="E12" s="1349">
        <v>8875</v>
      </c>
      <c r="F12" s="1349">
        <v>2130</v>
      </c>
      <c r="G12" s="1350">
        <v>0</v>
      </c>
      <c r="H12" s="1351">
        <v>0</v>
      </c>
      <c r="I12" s="1738">
        <f>SUM(D12:H12)</f>
        <v>40352</v>
      </c>
    </row>
    <row r="13" spans="1:13" s="1337" customFormat="1" ht="20.100000000000001" customHeight="1" thickBot="1">
      <c r="A13" s="1329" t="s">
        <v>205</v>
      </c>
      <c r="B13" s="1340" t="s">
        <v>2101</v>
      </c>
      <c r="C13" s="1331"/>
      <c r="D13" s="1332">
        <f>SUM(D14:D14)</f>
        <v>0</v>
      </c>
      <c r="E13" s="1333">
        <f>SUM(E14:E14)</f>
        <v>0</v>
      </c>
      <c r="F13" s="1333">
        <f>SUM(F14:F14)</f>
        <v>0</v>
      </c>
      <c r="G13" s="1334"/>
      <c r="H13" s="1335">
        <f>SUM(H14:H14)</f>
        <v>0</v>
      </c>
      <c r="I13" s="1336">
        <f t="shared" ref="I13:I20" si="1">SUM(D13:H13)</f>
        <v>0</v>
      </c>
    </row>
    <row r="14" spans="1:13" s="1337" customFormat="1" ht="20.100000000000001" customHeight="1" thickBot="1">
      <c r="A14" s="1329" t="s">
        <v>79</v>
      </c>
      <c r="B14" s="1728"/>
      <c r="C14" s="1338"/>
      <c r="D14" s="1732"/>
      <c r="E14" s="1339"/>
      <c r="F14" s="1339"/>
      <c r="G14" s="1733"/>
      <c r="H14" s="1731"/>
      <c r="I14" s="1734">
        <f t="shared" si="1"/>
        <v>0</v>
      </c>
    </row>
    <row r="15" spans="1:13" s="1337" customFormat="1" ht="20.100000000000001" customHeight="1" thickBot="1">
      <c r="A15" s="1329" t="s">
        <v>80</v>
      </c>
      <c r="B15" s="1340" t="s">
        <v>2102</v>
      </c>
      <c r="C15" s="1331"/>
      <c r="D15" s="1332">
        <f>SUM(D16:D16)</f>
        <v>0</v>
      </c>
      <c r="E15" s="1333">
        <f>SUM(E16:E16)</f>
        <v>0</v>
      </c>
      <c r="F15" s="1333">
        <f>SUM(F16:F16)</f>
        <v>0</v>
      </c>
      <c r="G15" s="1334"/>
      <c r="H15" s="1335">
        <f>SUM(H16:H16)</f>
        <v>0</v>
      </c>
      <c r="I15" s="1336">
        <f t="shared" si="1"/>
        <v>0</v>
      </c>
      <c r="J15" s="1352"/>
    </row>
    <row r="16" spans="1:13" s="1337" customFormat="1" ht="20.100000000000001" customHeight="1" thickBot="1">
      <c r="A16" s="1329" t="s">
        <v>85</v>
      </c>
      <c r="B16" s="1743"/>
      <c r="C16" s="1744"/>
      <c r="D16" s="1745"/>
      <c r="E16" s="1746"/>
      <c r="F16" s="1746"/>
      <c r="G16" s="1747"/>
      <c r="H16" s="1748"/>
      <c r="I16" s="1749">
        <f t="shared" si="1"/>
        <v>0</v>
      </c>
    </row>
    <row r="17" spans="1:11" s="1337" customFormat="1" ht="20.100000000000001" customHeight="1" thickBot="1">
      <c r="A17" s="1329" t="s">
        <v>98</v>
      </c>
      <c r="B17" s="1340" t="s">
        <v>223</v>
      </c>
      <c r="C17" s="1331"/>
      <c r="D17" s="1353">
        <f>SUM(D18:D19)</f>
        <v>0</v>
      </c>
      <c r="E17" s="1353">
        <f>SUM(E18:E19)</f>
        <v>0</v>
      </c>
      <c r="F17" s="1353">
        <f>SUM(F18:F19)</f>
        <v>0</v>
      </c>
      <c r="G17" s="1353">
        <f>SUM(G18:G19)</f>
        <v>0</v>
      </c>
      <c r="H17" s="1353">
        <f>SUM(H18:H19)</f>
        <v>0</v>
      </c>
      <c r="I17" s="1336">
        <f t="shared" si="1"/>
        <v>0</v>
      </c>
    </row>
    <row r="18" spans="1:11" s="1337" customFormat="1" ht="20.100000000000001" customHeight="1" thickBot="1">
      <c r="A18" s="1329" t="s">
        <v>99</v>
      </c>
      <c r="B18" s="1750"/>
      <c r="C18" s="1354"/>
      <c r="D18" s="1355"/>
      <c r="E18" s="1356"/>
      <c r="F18" s="1356">
        <v>0</v>
      </c>
      <c r="G18" s="1357"/>
      <c r="H18" s="1358"/>
      <c r="I18" s="1359">
        <f t="shared" si="1"/>
        <v>0</v>
      </c>
    </row>
    <row r="19" spans="1:11" s="1337" customFormat="1" ht="20.100000000000001" customHeight="1" thickBot="1">
      <c r="A19" s="1329" t="s">
        <v>210</v>
      </c>
      <c r="B19" s="1751"/>
      <c r="C19" s="1752"/>
      <c r="D19" s="1753"/>
      <c r="E19" s="1754"/>
      <c r="F19" s="1754"/>
      <c r="G19" s="1755"/>
      <c r="H19" s="1756">
        <v>0</v>
      </c>
      <c r="I19" s="1359">
        <f t="shared" si="1"/>
        <v>0</v>
      </c>
    </row>
    <row r="20" spans="1:11" s="1337" customFormat="1" ht="20.100000000000001" customHeight="1" thickBot="1">
      <c r="A20" s="1996" t="s">
        <v>2103</v>
      </c>
      <c r="B20" s="1997"/>
      <c r="C20" s="1360"/>
      <c r="D20" s="1332">
        <f>D5+D7+D13+D15+D17</f>
        <v>319634</v>
      </c>
      <c r="E20" s="1333">
        <f>E5+E7+E13+E15+E17</f>
        <v>109348</v>
      </c>
      <c r="F20" s="1333">
        <f>SUM(F7+F17)</f>
        <v>12020</v>
      </c>
      <c r="G20" s="1333">
        <f>SUM(G7+G17)</f>
        <v>0</v>
      </c>
      <c r="H20" s="1335">
        <f>H5+H7+H13+H15+H17</f>
        <v>0</v>
      </c>
      <c r="I20" s="1336">
        <f t="shared" si="1"/>
        <v>441002</v>
      </c>
    </row>
    <row r="22" spans="1:11" ht="17.25" customHeight="1"/>
    <row r="23" spans="1:11" s="1362" customFormat="1" ht="75.75" customHeight="1">
      <c r="A23" s="1361" t="s">
        <v>4</v>
      </c>
      <c r="B23" s="1995" t="s">
        <v>2104</v>
      </c>
      <c r="C23" s="1995"/>
      <c r="D23" s="1995"/>
      <c r="E23" s="1995"/>
      <c r="F23" s="1995"/>
      <c r="G23" s="1995"/>
      <c r="H23" s="1995"/>
      <c r="I23" s="1995"/>
      <c r="K23" s="1363"/>
    </row>
    <row r="24" spans="1:11" s="1364" customFormat="1" ht="48" customHeight="1">
      <c r="A24" s="1365" t="s">
        <v>5</v>
      </c>
      <c r="B24" s="1995" t="s">
        <v>2457</v>
      </c>
      <c r="C24" s="1995"/>
      <c r="D24" s="1995"/>
      <c r="E24" s="1995"/>
      <c r="F24" s="1995"/>
      <c r="G24" s="1995"/>
      <c r="H24" s="1995"/>
      <c r="I24" s="1995"/>
    </row>
    <row r="25" spans="1:11" s="1364" customFormat="1" ht="43.5" customHeight="1">
      <c r="A25" s="1365" t="s">
        <v>19</v>
      </c>
      <c r="B25" s="1995" t="s">
        <v>2105</v>
      </c>
      <c r="C25" s="1995"/>
      <c r="D25" s="1995"/>
      <c r="E25" s="1995"/>
      <c r="F25" s="1995"/>
      <c r="G25" s="1995"/>
      <c r="H25" s="1995"/>
      <c r="I25" s="1995"/>
    </row>
    <row r="26" spans="1:11" s="1364" customFormat="1" ht="43.5" customHeight="1">
      <c r="A26" s="1365" t="s">
        <v>149</v>
      </c>
      <c r="B26" s="1995" t="s">
        <v>2106</v>
      </c>
      <c r="C26" s="1995"/>
      <c r="D26" s="1995"/>
      <c r="E26" s="1995"/>
      <c r="F26" s="1995"/>
      <c r="G26" s="1995"/>
      <c r="H26" s="1995"/>
      <c r="I26" s="1995"/>
    </row>
    <row r="27" spans="1:11" s="1364" customFormat="1" ht="43.5" customHeight="1">
      <c r="A27" s="1365" t="s">
        <v>38</v>
      </c>
      <c r="B27" s="1995" t="s">
        <v>2107</v>
      </c>
      <c r="C27" s="1995"/>
      <c r="D27" s="1995"/>
      <c r="E27" s="1995"/>
      <c r="F27" s="1995"/>
      <c r="G27" s="1995"/>
      <c r="H27" s="1995"/>
      <c r="I27" s="1995"/>
    </row>
    <row r="28" spans="1:11" s="1364" customFormat="1" ht="46.5" customHeight="1">
      <c r="A28" s="1365" t="s">
        <v>48</v>
      </c>
      <c r="B28" s="1995" t="s">
        <v>2458</v>
      </c>
      <c r="C28" s="1995"/>
      <c r="D28" s="1995"/>
      <c r="E28" s="1995"/>
      <c r="F28" s="1995"/>
      <c r="G28" s="1995"/>
      <c r="H28" s="1995"/>
      <c r="I28" s="1995"/>
    </row>
  </sheetData>
  <mergeCells count="13">
    <mergeCell ref="B28:I28"/>
    <mergeCell ref="A20:B20"/>
    <mergeCell ref="B23:I23"/>
    <mergeCell ref="B24:I24"/>
    <mergeCell ref="B25:I25"/>
    <mergeCell ref="B26:I26"/>
    <mergeCell ref="B27:I27"/>
    <mergeCell ref="I2:I3"/>
    <mergeCell ref="A2:A3"/>
    <mergeCell ref="B2:B3"/>
    <mergeCell ref="C2:C3"/>
    <mergeCell ref="D2:D3"/>
    <mergeCell ref="E2:H2"/>
  </mergeCells>
  <printOptions horizontalCentered="1"/>
  <pageMargins left="0.78740157480314965" right="0.78740157480314965" top="0.86614173228346458" bottom="0.70866141732283472" header="0.35433070866141736" footer="0.35433070866141736"/>
  <pageSetup paperSize="9" scale="93" firstPageNumber="121" orientation="landscape" verticalDpi="300" r:id="rId1"/>
  <headerFooter alignWithMargins="0">
    <oddHeader>&amp;C&amp;"Times New Roman CE,Félkövér"&amp;12Vecsés Város Önkormányzat többéves kihatással járó döntésekből származó kötelezettségek
célok szerint, évenkénti bontásban&amp;R&amp;"Times New Roman CE,Félkövér dőlt"&amp;11 8. számú melléklet</oddHeader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view="pageBreakPreview" topLeftCell="A46" workbookViewId="0">
      <selection activeCell="G14" sqref="G14"/>
    </sheetView>
  </sheetViews>
  <sheetFormatPr defaultRowHeight="12.75"/>
  <cols>
    <col min="1" max="1" width="41.1640625" style="1368" customWidth="1"/>
    <col min="2" max="2" width="16" style="1368" customWidth="1"/>
    <col min="3" max="4" width="13.83203125" style="1368" customWidth="1"/>
    <col min="5" max="5" width="13.5" style="1368" customWidth="1"/>
    <col min="6" max="16384" width="9.33203125" style="1368"/>
  </cols>
  <sheetData>
    <row r="1" spans="1:5" ht="14.25" customHeight="1">
      <c r="A1" s="1366"/>
      <c r="B1" s="1367"/>
      <c r="C1" s="1367"/>
      <c r="D1" s="1367"/>
      <c r="E1" s="1367"/>
    </row>
    <row r="2" spans="1:5" ht="29.25" customHeight="1">
      <c r="A2" s="1369" t="s">
        <v>2108</v>
      </c>
      <c r="B2" s="1999" t="s">
        <v>2109</v>
      </c>
      <c r="C2" s="1999"/>
      <c r="D2" s="1999"/>
      <c r="E2" s="1999"/>
    </row>
    <row r="3" spans="1:5" ht="13.5" customHeight="1" thickBot="1">
      <c r="D3" s="2000" t="s">
        <v>2110</v>
      </c>
      <c r="E3" s="2000"/>
    </row>
    <row r="4" spans="1:5" ht="16.5" thickBot="1">
      <c r="A4" s="1370" t="s">
        <v>2111</v>
      </c>
      <c r="B4" s="1371" t="s">
        <v>2112</v>
      </c>
      <c r="C4" s="1371">
        <v>2013</v>
      </c>
      <c r="D4" s="1371" t="s">
        <v>2113</v>
      </c>
      <c r="E4" s="1372" t="s">
        <v>2095</v>
      </c>
    </row>
    <row r="5" spans="1:5" ht="16.5" thickBot="1">
      <c r="A5" s="1373" t="s">
        <v>2114</v>
      </c>
      <c r="B5" s="1374">
        <v>0</v>
      </c>
      <c r="C5" s="1374">
        <v>0</v>
      </c>
      <c r="D5" s="1374"/>
      <c r="E5" s="1374">
        <f t="shared" ref="E5:E11" si="0">SUM(B5:D5)</f>
        <v>0</v>
      </c>
    </row>
    <row r="6" spans="1:5" ht="16.5" thickBot="1">
      <c r="A6" s="1375" t="s">
        <v>2115</v>
      </c>
      <c r="B6" s="1374"/>
      <c r="C6" s="1374"/>
      <c r="D6" s="1374"/>
      <c r="E6" s="1374">
        <f t="shared" si="0"/>
        <v>0</v>
      </c>
    </row>
    <row r="7" spans="1:5" ht="16.5" thickBot="1">
      <c r="A7" s="1376" t="s">
        <v>2116</v>
      </c>
      <c r="B7" s="1374">
        <v>19171</v>
      </c>
      <c r="C7" s="1374">
        <v>8439</v>
      </c>
      <c r="D7" s="1374"/>
      <c r="E7" s="1374">
        <f t="shared" si="0"/>
        <v>27610</v>
      </c>
    </row>
    <row r="8" spans="1:5" ht="16.5" thickBot="1">
      <c r="A8" s="1376" t="s">
        <v>2117</v>
      </c>
      <c r="B8" s="1374"/>
      <c r="C8" s="1374"/>
      <c r="D8" s="1374"/>
      <c r="E8" s="1374">
        <f t="shared" si="0"/>
        <v>0</v>
      </c>
    </row>
    <row r="9" spans="1:5" ht="16.5" thickBot="1">
      <c r="A9" s="1376" t="s">
        <v>2118</v>
      </c>
      <c r="B9" s="1374"/>
      <c r="C9" s="1374"/>
      <c r="D9" s="1374"/>
      <c r="E9" s="1374">
        <f t="shared" si="0"/>
        <v>0</v>
      </c>
    </row>
    <row r="10" spans="1:5" ht="16.5" thickBot="1">
      <c r="A10" s="1376" t="s">
        <v>2119</v>
      </c>
      <c r="B10" s="1374"/>
      <c r="C10" s="1374"/>
      <c r="D10" s="1374"/>
      <c r="E10" s="1374">
        <f t="shared" si="0"/>
        <v>0</v>
      </c>
    </row>
    <row r="11" spans="1:5" ht="16.5" thickBot="1">
      <c r="A11" s="1377"/>
      <c r="B11" s="1374"/>
      <c r="C11" s="1374"/>
      <c r="D11" s="1374"/>
      <c r="E11" s="1374">
        <f t="shared" si="0"/>
        <v>0</v>
      </c>
    </row>
    <row r="12" spans="1:5" ht="19.5" thickBot="1">
      <c r="A12" s="1378" t="s">
        <v>2120</v>
      </c>
      <c r="B12" s="1379">
        <f>B5+SUM(B7:B11)</f>
        <v>19171</v>
      </c>
      <c r="C12" s="1379">
        <f>C5+SUM(C7:C11)</f>
        <v>8439</v>
      </c>
      <c r="D12" s="1379">
        <f>D5+SUM(D7:D11)</f>
        <v>0</v>
      </c>
      <c r="E12" s="1380">
        <f>E5+SUM(E7:E11)</f>
        <v>27610</v>
      </c>
    </row>
    <row r="13" spans="1:5" ht="13.5" thickBot="1">
      <c r="A13" s="1381"/>
      <c r="B13" s="1381"/>
      <c r="C13" s="1381"/>
      <c r="D13" s="1381"/>
      <c r="E13" s="1381"/>
    </row>
    <row r="14" spans="1:5" ht="16.5" thickBot="1">
      <c r="A14" s="1370" t="s">
        <v>2121</v>
      </c>
      <c r="B14" s="1371" t="s">
        <v>2112</v>
      </c>
      <c r="C14" s="1371">
        <v>2013</v>
      </c>
      <c r="D14" s="1371" t="s">
        <v>2113</v>
      </c>
      <c r="E14" s="1372" t="s">
        <v>2095</v>
      </c>
    </row>
    <row r="15" spans="1:5" ht="16.5" thickBot="1">
      <c r="A15" s="1373" t="s">
        <v>2122</v>
      </c>
      <c r="B15" s="1374">
        <v>10088</v>
      </c>
      <c r="C15" s="1374">
        <v>6566</v>
      </c>
      <c r="D15" s="1374"/>
      <c r="E15" s="1374">
        <f t="shared" ref="E15:E21" si="1">SUM(B15:D15)</f>
        <v>16654</v>
      </c>
    </row>
    <row r="16" spans="1:5" ht="16.5" thickBot="1">
      <c r="A16" s="1373" t="s">
        <v>2123</v>
      </c>
      <c r="B16" s="1374">
        <v>1963</v>
      </c>
      <c r="C16" s="1374">
        <v>0</v>
      </c>
      <c r="D16" s="1374"/>
      <c r="E16" s="1374">
        <f t="shared" si="1"/>
        <v>1963</v>
      </c>
    </row>
    <row r="17" spans="1:5" ht="16.5" thickBot="1">
      <c r="A17" s="1373" t="s">
        <v>2124</v>
      </c>
      <c r="B17" s="1374">
        <v>7120</v>
      </c>
      <c r="C17" s="1374">
        <v>290</v>
      </c>
      <c r="D17" s="1374"/>
      <c r="E17" s="1374">
        <f t="shared" si="1"/>
        <v>7410</v>
      </c>
    </row>
    <row r="18" spans="1:5" ht="16.5" thickBot="1">
      <c r="A18" s="1373" t="s">
        <v>2125</v>
      </c>
      <c r="B18" s="1374"/>
      <c r="C18" s="1374">
        <v>1583</v>
      </c>
      <c r="D18" s="1374"/>
      <c r="E18" s="1374">
        <f t="shared" si="1"/>
        <v>1583</v>
      </c>
    </row>
    <row r="19" spans="1:5" ht="16.5" thickBot="1">
      <c r="A19" s="1373"/>
      <c r="B19" s="1374"/>
      <c r="C19" s="1374"/>
      <c r="D19" s="1374"/>
      <c r="E19" s="1374">
        <f t="shared" si="1"/>
        <v>0</v>
      </c>
    </row>
    <row r="20" spans="1:5" ht="16.5" hidden="1" thickBot="1">
      <c r="A20" s="1382"/>
      <c r="B20" s="1374"/>
      <c r="C20" s="1374"/>
      <c r="D20" s="1374"/>
      <c r="E20" s="1374">
        <f t="shared" si="1"/>
        <v>0</v>
      </c>
    </row>
    <row r="21" spans="1:5" ht="16.5" hidden="1" thickBot="1">
      <c r="A21" s="1377"/>
      <c r="B21" s="1374"/>
      <c r="C21" s="1374"/>
      <c r="D21" s="1374"/>
      <c r="E21" s="1374">
        <f t="shared" si="1"/>
        <v>0</v>
      </c>
    </row>
    <row r="22" spans="1:5" ht="19.5" thickBot="1">
      <c r="A22" s="1378" t="s">
        <v>1181</v>
      </c>
      <c r="B22" s="1379">
        <f>SUM(B15:B21)</f>
        <v>19171</v>
      </c>
      <c r="C22" s="1379">
        <f>SUM(C15:C21)</f>
        <v>8439</v>
      </c>
      <c r="D22" s="1379">
        <f>SUM(D15:D21)</f>
        <v>0</v>
      </c>
      <c r="E22" s="1380">
        <f>SUM(E15:E21)</f>
        <v>27610</v>
      </c>
    </row>
    <row r="23" spans="1:5" ht="18.75">
      <c r="A23" s="1366"/>
      <c r="B23" s="1367"/>
      <c r="C23" s="1367"/>
      <c r="D23" s="1367"/>
      <c r="E23" s="1367"/>
    </row>
    <row r="24" spans="1:5" ht="16.5" customHeight="1">
      <c r="A24" s="1366"/>
      <c r="B24" s="1367"/>
      <c r="C24" s="1367"/>
      <c r="D24" s="1367"/>
      <c r="E24" s="1367"/>
    </row>
    <row r="25" spans="1:5" ht="45" customHeight="1">
      <c r="A25" s="1369" t="s">
        <v>2108</v>
      </c>
      <c r="B25" s="1999" t="s">
        <v>2473</v>
      </c>
      <c r="C25" s="1999"/>
      <c r="D25" s="1999"/>
      <c r="E25" s="1999"/>
    </row>
    <row r="26" spans="1:5" ht="13.5" thickBot="1">
      <c r="D26" s="2000" t="s">
        <v>2110</v>
      </c>
      <c r="E26" s="2000"/>
    </row>
    <row r="27" spans="1:5" ht="16.5" thickBot="1">
      <c r="A27" s="1370" t="s">
        <v>2111</v>
      </c>
      <c r="B27" s="1371" t="s">
        <v>2112</v>
      </c>
      <c r="C27" s="1371">
        <v>2013</v>
      </c>
      <c r="D27" s="1371" t="s">
        <v>2113</v>
      </c>
      <c r="E27" s="1372" t="s">
        <v>2095</v>
      </c>
    </row>
    <row r="28" spans="1:5" ht="16.5" thickBot="1">
      <c r="A28" s="1373" t="s">
        <v>2114</v>
      </c>
      <c r="B28" s="1374">
        <v>449728</v>
      </c>
      <c r="C28" s="1374">
        <v>16923</v>
      </c>
      <c r="D28" s="1374"/>
      <c r="E28" s="1374">
        <f t="shared" ref="E28:E34" si="2">SUM(B28:D28)</f>
        <v>466651</v>
      </c>
    </row>
    <row r="29" spans="1:5" ht="16.5" thickBot="1">
      <c r="A29" s="1375" t="s">
        <v>2115</v>
      </c>
      <c r="B29" s="1374">
        <v>0</v>
      </c>
      <c r="C29" s="1374">
        <v>0</v>
      </c>
      <c r="D29" s="1374"/>
      <c r="E29" s="1374">
        <f t="shared" si="2"/>
        <v>0</v>
      </c>
    </row>
    <row r="30" spans="1:5" ht="16.5" thickBot="1">
      <c r="A30" s="1376" t="s">
        <v>2116</v>
      </c>
      <c r="B30" s="1374">
        <v>667353</v>
      </c>
      <c r="C30" s="1374">
        <v>25310</v>
      </c>
      <c r="D30" s="1374"/>
      <c r="E30" s="1374">
        <f t="shared" si="2"/>
        <v>692663</v>
      </c>
    </row>
    <row r="31" spans="1:5" ht="16.5" thickBot="1">
      <c r="A31" s="1376" t="s">
        <v>2117</v>
      </c>
      <c r="B31" s="1374"/>
      <c r="C31" s="1374"/>
      <c r="D31" s="1374"/>
      <c r="E31" s="1374">
        <f t="shared" si="2"/>
        <v>0</v>
      </c>
    </row>
    <row r="32" spans="1:5" ht="16.5" thickBot="1">
      <c r="A32" s="1376" t="s">
        <v>2118</v>
      </c>
      <c r="B32" s="1374"/>
      <c r="C32" s="1374"/>
      <c r="D32" s="1374"/>
      <c r="E32" s="1374">
        <f t="shared" si="2"/>
        <v>0</v>
      </c>
    </row>
    <row r="33" spans="1:5" ht="16.5" thickBot="1">
      <c r="A33" s="1376" t="s">
        <v>2119</v>
      </c>
      <c r="B33" s="1374"/>
      <c r="C33" s="1374"/>
      <c r="D33" s="1374"/>
      <c r="E33" s="1374">
        <f t="shared" si="2"/>
        <v>0</v>
      </c>
    </row>
    <row r="34" spans="1:5" ht="16.5" thickBot="1">
      <c r="A34" s="1377"/>
      <c r="B34" s="1374"/>
      <c r="C34" s="1374"/>
      <c r="D34" s="1374"/>
      <c r="E34" s="1374">
        <f t="shared" si="2"/>
        <v>0</v>
      </c>
    </row>
    <row r="35" spans="1:5" ht="19.5" thickBot="1">
      <c r="A35" s="1378" t="s">
        <v>2120</v>
      </c>
      <c r="B35" s="1379">
        <f>B28+SUM(B30:B34)</f>
        <v>1117081</v>
      </c>
      <c r="C35" s="1379">
        <f>C28+SUM(C30:C34)</f>
        <v>42233</v>
      </c>
      <c r="D35" s="1379">
        <f>D28+SUM(D30:D34)</f>
        <v>0</v>
      </c>
      <c r="E35" s="1380">
        <f>E28+SUM(E30:E34)</f>
        <v>1159314</v>
      </c>
    </row>
    <row r="36" spans="1:5" ht="13.5" thickBot="1">
      <c r="A36" s="1381"/>
      <c r="B36" s="1381"/>
      <c r="C36" s="1381"/>
      <c r="D36" s="1381"/>
      <c r="E36" s="1381"/>
    </row>
    <row r="37" spans="1:5" ht="16.5" thickBot="1">
      <c r="A37" s="1370" t="s">
        <v>2121</v>
      </c>
      <c r="B37" s="1371" t="s">
        <v>2112</v>
      </c>
      <c r="C37" s="1371">
        <v>2013</v>
      </c>
      <c r="D37" s="1371" t="s">
        <v>2113</v>
      </c>
      <c r="E37" s="1372" t="s">
        <v>2095</v>
      </c>
    </row>
    <row r="38" spans="1:5" ht="16.5" thickBot="1">
      <c r="A38" s="1373" t="s">
        <v>2122</v>
      </c>
      <c r="B38" s="1374">
        <v>54500</v>
      </c>
      <c r="C38" s="1374">
        <v>0</v>
      </c>
      <c r="D38" s="1374"/>
      <c r="E38" s="1374">
        <f>SUM(B38:D38)</f>
        <v>54500</v>
      </c>
    </row>
    <row r="39" spans="1:5" ht="16.5" thickBot="1">
      <c r="A39" s="1373" t="s">
        <v>2123</v>
      </c>
      <c r="B39" s="1374">
        <v>1033596</v>
      </c>
      <c r="C39" s="1374">
        <v>41337</v>
      </c>
      <c r="D39" s="1374"/>
      <c r="E39" s="1374">
        <f t="shared" ref="E39:E44" si="3">SUM(B39:D39)</f>
        <v>1074933</v>
      </c>
    </row>
    <row r="40" spans="1:5" ht="16.5" thickBot="1">
      <c r="A40" s="1373" t="s">
        <v>2124</v>
      </c>
      <c r="B40" s="1374">
        <v>28985</v>
      </c>
      <c r="C40" s="1374">
        <v>896</v>
      </c>
      <c r="D40" s="1374"/>
      <c r="E40" s="1374">
        <f t="shared" si="3"/>
        <v>29881</v>
      </c>
    </row>
    <row r="41" spans="1:5" ht="13.5" customHeight="1" thickBot="1">
      <c r="A41" s="1373" t="s">
        <v>2125</v>
      </c>
      <c r="B41" s="1374"/>
      <c r="C41" s="1374"/>
      <c r="D41" s="1374"/>
      <c r="E41" s="1374">
        <f t="shared" si="3"/>
        <v>0</v>
      </c>
    </row>
    <row r="42" spans="1:5" ht="16.5" customHeight="1" thickBot="1">
      <c r="A42" s="1373"/>
      <c r="B42" s="1374"/>
      <c r="C42" s="1374"/>
      <c r="D42" s="1374"/>
      <c r="E42" s="1374">
        <f t="shared" si="3"/>
        <v>0</v>
      </c>
    </row>
    <row r="43" spans="1:5" ht="19.5" customHeight="1" thickBot="1">
      <c r="A43" s="1382"/>
      <c r="B43" s="1374"/>
      <c r="C43" s="1374"/>
      <c r="D43" s="1374"/>
      <c r="E43" s="1374">
        <f t="shared" si="3"/>
        <v>0</v>
      </c>
    </row>
    <row r="44" spans="1:5" ht="16.5" thickBot="1">
      <c r="A44" s="1377"/>
      <c r="B44" s="1374"/>
      <c r="C44" s="1374"/>
      <c r="D44" s="1374"/>
      <c r="E44" s="1374">
        <f t="shared" si="3"/>
        <v>0</v>
      </c>
    </row>
    <row r="45" spans="1:5" ht="19.5" thickBot="1">
      <c r="A45" s="1378" t="s">
        <v>1181</v>
      </c>
      <c r="B45" s="1379">
        <f>SUM(B38:B44)</f>
        <v>1117081</v>
      </c>
      <c r="C45" s="1379">
        <f>SUM(C38:C44)</f>
        <v>42233</v>
      </c>
      <c r="D45" s="1379">
        <f>SUM(D38:D44)</f>
        <v>0</v>
      </c>
      <c r="E45" s="1380">
        <f>SUM(E38:E44)</f>
        <v>1159314</v>
      </c>
    </row>
    <row r="48" spans="1:5" ht="15.75">
      <c r="A48" s="1383" t="s">
        <v>2126</v>
      </c>
    </row>
    <row r="49" spans="1:5" ht="15.75">
      <c r="A49" s="1383"/>
    </row>
    <row r="50" spans="1:5" ht="13.5" thickBot="1">
      <c r="D50" s="2000" t="s">
        <v>2110</v>
      </c>
      <c r="E50" s="2000"/>
    </row>
    <row r="51" spans="1:5" ht="16.5" thickBot="1">
      <c r="A51" s="1384" t="s">
        <v>2127</v>
      </c>
      <c r="B51" s="1385"/>
      <c r="C51" s="1386"/>
      <c r="D51" s="1998">
        <v>5000</v>
      </c>
      <c r="E51" s="1998"/>
    </row>
    <row r="52" spans="1:5" ht="19.5" thickBot="1">
      <c r="A52" s="1387" t="s">
        <v>1181</v>
      </c>
      <c r="B52" s="1388"/>
      <c r="C52" s="1388"/>
      <c r="D52" s="1788">
        <f>SUM(D51:E51)</f>
        <v>5000</v>
      </c>
      <c r="E52" s="1767"/>
    </row>
  </sheetData>
  <sheetProtection selectLockedCells="1" selectUnlockedCells="1"/>
  <mergeCells count="6">
    <mergeCell ref="D51:E51"/>
    <mergeCell ref="B25:E25"/>
    <mergeCell ref="D26:E26"/>
    <mergeCell ref="B2:E2"/>
    <mergeCell ref="D3:E3"/>
    <mergeCell ref="D50:E50"/>
  </mergeCells>
  <conditionalFormatting sqref="D4:E24 B1:E1 B3:C24">
    <cfRule type="cellIs" dxfId="1" priority="2" stopIfTrue="1" operator="equal">
      <formula>0</formula>
    </cfRule>
  </conditionalFormatting>
  <conditionalFormatting sqref="B26:C45 D27:E45">
    <cfRule type="cellIs" dxfId="0" priority="1" stopIfTrue="1" operator="equal">
      <formula>0</formula>
    </cfRule>
  </conditionalFormatting>
  <printOptions horizontalCentered="1"/>
  <pageMargins left="0.78740157480314965" right="0.78740157480314965" top="1.0236220472440944" bottom="0.59055118110236227" header="0.39370078740157483" footer="0.23622047244094491"/>
  <pageSetup paperSize="9" scale="95" firstPageNumber="123" orientation="portrait" horizontalDpi="300" verticalDpi="300" r:id="rId1"/>
  <headerFooter alignWithMargins="0">
    <oddHeader>&amp;C&amp;"Times New Roman CE,Félkövér"&amp;16Európai uniós támogatással megvalósuló 
projektek bevételei, kiadásai, hozzájárulások&amp;R&amp;12 11. sz. melléklet</oddHeader>
    <oddFooter>&amp;C&amp;"Calibri,Általános"&amp;11-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topLeftCell="B1" workbookViewId="0">
      <selection activeCell="B4" sqref="B4"/>
    </sheetView>
  </sheetViews>
  <sheetFormatPr defaultRowHeight="12.75"/>
  <cols>
    <col min="1" max="1" width="5.83203125" style="1420" customWidth="1"/>
    <col min="2" max="2" width="60" style="152" customWidth="1"/>
    <col min="3" max="3" width="17.6640625" style="152" customWidth="1"/>
    <col min="4" max="4" width="19" style="152" customWidth="1"/>
    <col min="5" max="16384" width="9.33203125" style="152"/>
  </cols>
  <sheetData>
    <row r="1" spans="1:4" s="726" customFormat="1" ht="16.5" thickBot="1">
      <c r="A1" s="1389"/>
      <c r="B1" s="1390"/>
      <c r="C1" s="1390"/>
      <c r="D1" s="1391" t="s">
        <v>194</v>
      </c>
    </row>
    <row r="2" spans="1:4" s="1395" customFormat="1" ht="48" customHeight="1" thickBot="1">
      <c r="A2" s="1392" t="s">
        <v>2064</v>
      </c>
      <c r="B2" s="1393" t="s">
        <v>2128</v>
      </c>
      <c r="C2" s="1393" t="s">
        <v>2129</v>
      </c>
      <c r="D2" s="1394" t="s">
        <v>2130</v>
      </c>
    </row>
    <row r="3" spans="1:4" s="1395" customFormat="1" ht="14.1" customHeight="1" thickBot="1">
      <c r="A3" s="1396">
        <v>1</v>
      </c>
      <c r="B3" s="1397">
        <v>2</v>
      </c>
      <c r="C3" s="1397">
        <v>3</v>
      </c>
      <c r="D3" s="1398">
        <v>4</v>
      </c>
    </row>
    <row r="4" spans="1:4" ht="18" customHeight="1">
      <c r="A4" s="1399" t="s">
        <v>4</v>
      </c>
      <c r="B4" s="1400" t="s">
        <v>2131</v>
      </c>
      <c r="C4" s="1401"/>
      <c r="D4" s="1402"/>
    </row>
    <row r="5" spans="1:4" ht="18" customHeight="1">
      <c r="A5" s="1403" t="s">
        <v>5</v>
      </c>
      <c r="B5" s="1404" t="s">
        <v>2132</v>
      </c>
      <c r="C5" s="1405"/>
      <c r="D5" s="1406"/>
    </row>
    <row r="6" spans="1:4" ht="18" customHeight="1">
      <c r="A6" s="1403" t="s">
        <v>19</v>
      </c>
      <c r="B6" s="1404" t="s">
        <v>2133</v>
      </c>
      <c r="C6" s="1405"/>
      <c r="D6" s="1406"/>
    </row>
    <row r="7" spans="1:4" ht="18" customHeight="1">
      <c r="A7" s="1403" t="s">
        <v>149</v>
      </c>
      <c r="B7" s="1404" t="s">
        <v>2134</v>
      </c>
      <c r="C7" s="1405"/>
      <c r="D7" s="1406"/>
    </row>
    <row r="8" spans="1:4" ht="18" customHeight="1">
      <c r="A8" s="1403" t="s">
        <v>38</v>
      </c>
      <c r="B8" s="1404" t="s">
        <v>2135</v>
      </c>
      <c r="C8" s="1405"/>
      <c r="D8" s="1406"/>
    </row>
    <row r="9" spans="1:4" ht="18" customHeight="1">
      <c r="A9" s="1403" t="s">
        <v>48</v>
      </c>
      <c r="B9" s="1404" t="s">
        <v>2136</v>
      </c>
      <c r="C9" s="1405"/>
      <c r="D9" s="1406"/>
    </row>
    <row r="10" spans="1:4" ht="18" customHeight="1">
      <c r="A10" s="1403" t="s">
        <v>178</v>
      </c>
      <c r="B10" s="1407" t="s">
        <v>2137</v>
      </c>
      <c r="C10" s="1405"/>
      <c r="D10" s="1406"/>
    </row>
    <row r="11" spans="1:4" ht="18" customHeight="1">
      <c r="A11" s="1403" t="s">
        <v>74</v>
      </c>
      <c r="B11" s="1407" t="s">
        <v>2138</v>
      </c>
      <c r="C11" s="1405"/>
      <c r="D11" s="1406"/>
    </row>
    <row r="12" spans="1:4" ht="18" customHeight="1">
      <c r="A12" s="1403" t="s">
        <v>205</v>
      </c>
      <c r="B12" s="1407" t="s">
        <v>2139</v>
      </c>
      <c r="C12" s="1405"/>
      <c r="D12" s="1406"/>
    </row>
    <row r="13" spans="1:4" ht="18" customHeight="1">
      <c r="A13" s="1403" t="s">
        <v>79</v>
      </c>
      <c r="B13" s="1407" t="s">
        <v>2140</v>
      </c>
      <c r="C13" s="1405"/>
      <c r="D13" s="1406"/>
    </row>
    <row r="14" spans="1:4" ht="18" customHeight="1">
      <c r="A14" s="1403" t="s">
        <v>80</v>
      </c>
      <c r="B14" s="1407" t="s">
        <v>2141</v>
      </c>
      <c r="C14" s="1405"/>
      <c r="D14" s="1406"/>
    </row>
    <row r="15" spans="1:4" ht="41.25" customHeight="1">
      <c r="A15" s="1403" t="s">
        <v>85</v>
      </c>
      <c r="B15" s="1407" t="s">
        <v>2142</v>
      </c>
      <c r="C15" s="1405"/>
      <c r="D15" s="1406"/>
    </row>
    <row r="16" spans="1:4" ht="18" customHeight="1">
      <c r="A16" s="1403" t="s">
        <v>98</v>
      </c>
      <c r="B16" s="1404" t="s">
        <v>2143</v>
      </c>
      <c r="C16" s="1405"/>
      <c r="D16" s="1406">
        <v>13102</v>
      </c>
    </row>
    <row r="17" spans="1:4" ht="18" customHeight="1">
      <c r="A17" s="1403" t="s">
        <v>99</v>
      </c>
      <c r="B17" s="1404" t="s">
        <v>2144</v>
      </c>
      <c r="C17" s="1405"/>
      <c r="D17" s="1406"/>
    </row>
    <row r="18" spans="1:4" ht="18" customHeight="1">
      <c r="A18" s="1403" t="s">
        <v>210</v>
      </c>
      <c r="B18" s="1404" t="s">
        <v>2145</v>
      </c>
      <c r="C18" s="1405"/>
      <c r="D18" s="1406"/>
    </row>
    <row r="19" spans="1:4" ht="18" customHeight="1">
      <c r="A19" s="1403" t="s">
        <v>212</v>
      </c>
      <c r="B19" s="1404" t="s">
        <v>2146</v>
      </c>
      <c r="C19" s="1405"/>
      <c r="D19" s="1406"/>
    </row>
    <row r="20" spans="1:4" ht="18" customHeight="1">
      <c r="A20" s="1403" t="s">
        <v>214</v>
      </c>
      <c r="B20" s="1404" t="s">
        <v>2147</v>
      </c>
      <c r="C20" s="1405"/>
      <c r="D20" s="1406"/>
    </row>
    <row r="21" spans="1:4" ht="18" customHeight="1">
      <c r="A21" s="1403" t="s">
        <v>215</v>
      </c>
      <c r="B21" s="1408"/>
      <c r="C21" s="1409"/>
      <c r="D21" s="1406"/>
    </row>
    <row r="22" spans="1:4" ht="18" customHeight="1">
      <c r="A22" s="1403" t="s">
        <v>217</v>
      </c>
      <c r="B22" s="1410"/>
      <c r="C22" s="1409"/>
      <c r="D22" s="1406"/>
    </row>
    <row r="23" spans="1:4" ht="18" customHeight="1">
      <c r="A23" s="1403" t="s">
        <v>219</v>
      </c>
      <c r="B23" s="1410"/>
      <c r="C23" s="1411"/>
      <c r="D23" s="1412"/>
    </row>
    <row r="24" spans="1:4" ht="18" customHeight="1">
      <c r="A24" s="1403" t="s">
        <v>221</v>
      </c>
      <c r="B24" s="1410"/>
      <c r="C24" s="1411"/>
      <c r="D24" s="1412"/>
    </row>
    <row r="25" spans="1:4" ht="18" customHeight="1">
      <c r="A25" s="1403" t="s">
        <v>222</v>
      </c>
      <c r="B25" s="1410"/>
      <c r="C25" s="1411"/>
      <c r="D25" s="1412"/>
    </row>
    <row r="26" spans="1:4" ht="18" customHeight="1">
      <c r="A26" s="1403" t="s">
        <v>224</v>
      </c>
      <c r="B26" s="1410"/>
      <c r="C26" s="1411"/>
      <c r="D26" s="1412"/>
    </row>
    <row r="27" spans="1:4" ht="18" customHeight="1">
      <c r="A27" s="1403" t="s">
        <v>225</v>
      </c>
      <c r="B27" s="1410"/>
      <c r="C27" s="1411"/>
      <c r="D27" s="1412"/>
    </row>
    <row r="28" spans="1:4" ht="18" customHeight="1">
      <c r="A28" s="1403" t="s">
        <v>227</v>
      </c>
      <c r="B28" s="1410"/>
      <c r="C28" s="1411"/>
      <c r="D28" s="1412"/>
    </row>
    <row r="29" spans="1:4" ht="18" customHeight="1" thickBot="1">
      <c r="A29" s="1413" t="s">
        <v>229</v>
      </c>
      <c r="B29" s="1414"/>
      <c r="C29" s="1415"/>
      <c r="D29" s="1416"/>
    </row>
    <row r="30" spans="1:4" ht="18" customHeight="1" thickBot="1">
      <c r="A30" s="1396" t="s">
        <v>2148</v>
      </c>
      <c r="B30" s="1417" t="s">
        <v>1181</v>
      </c>
      <c r="C30" s="1418">
        <f>SUM(C4:C29)</f>
        <v>0</v>
      </c>
      <c r="D30" s="1419">
        <f>SUM(D4:D29)</f>
        <v>13102</v>
      </c>
    </row>
  </sheetData>
  <sheetProtection selectLockedCells="1" selectUnlockedCells="1"/>
  <printOptions horizontalCentered="1"/>
  <pageMargins left="0.43307086614173229" right="0.31496062992125984" top="1.6141732283464567" bottom="0.98425196850393704" header="0.78740157480314965" footer="0.78740157480314965"/>
  <pageSetup paperSize="9" firstPageNumber="125" orientation="portrait" horizontalDpi="300" verticalDpi="300" r:id="rId1"/>
  <headerFooter alignWithMargins="0">
    <oddHeader>&amp;C&amp;"Times New Roman CE,Félkövér"&amp;14Vecsés Város  Önkormányzata 
által adott közvetett támogatások
(kedvezmények)&amp;R&amp;"Times New Roman,Normál"&amp;12 12. sz. melléklet</oddHeader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opLeftCell="B1" zoomScaleNormal="100" zoomScaleSheetLayoutView="100" workbookViewId="0">
      <selection activeCell="O28" sqref="O28:O29"/>
    </sheetView>
  </sheetViews>
  <sheetFormatPr defaultRowHeight="15.75"/>
  <cols>
    <col min="1" max="1" width="4.83203125" style="1421" customWidth="1"/>
    <col min="2" max="2" width="30.1640625" style="1422" customWidth="1"/>
    <col min="3" max="4" width="9" style="1422" customWidth="1"/>
    <col min="5" max="5" width="9.5" style="1422" customWidth="1"/>
    <col min="6" max="6" width="8.83203125" style="1422" customWidth="1"/>
    <col min="7" max="7" width="10.1640625" style="1422" customWidth="1"/>
    <col min="8" max="8" width="8.83203125" style="1422" customWidth="1"/>
    <col min="9" max="9" width="8.1640625" style="1422" customWidth="1"/>
    <col min="10" max="14" width="9.5" style="1422" customWidth="1"/>
    <col min="15" max="15" width="12.6640625" style="1421" customWidth="1"/>
    <col min="16" max="17" width="9.33203125" style="1422"/>
    <col min="18" max="18" width="11.83203125" style="1422" bestFit="1" customWidth="1"/>
    <col min="19" max="256" width="9.33203125" style="1422"/>
    <col min="257" max="257" width="4.83203125" style="1422" customWidth="1"/>
    <col min="258" max="258" width="30.1640625" style="1422" customWidth="1"/>
    <col min="259" max="260" width="9" style="1422" customWidth="1"/>
    <col min="261" max="261" width="9.5" style="1422" customWidth="1"/>
    <col min="262" max="262" width="8.83203125" style="1422" customWidth="1"/>
    <col min="263" max="263" width="10.1640625" style="1422" customWidth="1"/>
    <col min="264" max="264" width="8.83203125" style="1422" customWidth="1"/>
    <col min="265" max="265" width="8.1640625" style="1422" customWidth="1"/>
    <col min="266" max="270" width="9.5" style="1422" customWidth="1"/>
    <col min="271" max="271" width="12.6640625" style="1422" customWidth="1"/>
    <col min="272" max="273" width="9.33203125" style="1422"/>
    <col min="274" max="274" width="11.83203125" style="1422" bestFit="1" customWidth="1"/>
    <col min="275" max="512" width="9.33203125" style="1422"/>
    <col min="513" max="513" width="4.83203125" style="1422" customWidth="1"/>
    <col min="514" max="514" width="30.1640625" style="1422" customWidth="1"/>
    <col min="515" max="516" width="9" style="1422" customWidth="1"/>
    <col min="517" max="517" width="9.5" style="1422" customWidth="1"/>
    <col min="518" max="518" width="8.83203125" style="1422" customWidth="1"/>
    <col min="519" max="519" width="10.1640625" style="1422" customWidth="1"/>
    <col min="520" max="520" width="8.83203125" style="1422" customWidth="1"/>
    <col min="521" max="521" width="8.1640625" style="1422" customWidth="1"/>
    <col min="522" max="526" width="9.5" style="1422" customWidth="1"/>
    <col min="527" max="527" width="12.6640625" style="1422" customWidth="1"/>
    <col min="528" max="529" width="9.33203125" style="1422"/>
    <col min="530" max="530" width="11.83203125" style="1422" bestFit="1" customWidth="1"/>
    <col min="531" max="768" width="9.33203125" style="1422"/>
    <col min="769" max="769" width="4.83203125" style="1422" customWidth="1"/>
    <col min="770" max="770" width="30.1640625" style="1422" customWidth="1"/>
    <col min="771" max="772" width="9" style="1422" customWidth="1"/>
    <col min="773" max="773" width="9.5" style="1422" customWidth="1"/>
    <col min="774" max="774" width="8.83203125" style="1422" customWidth="1"/>
    <col min="775" max="775" width="10.1640625" style="1422" customWidth="1"/>
    <col min="776" max="776" width="8.83203125" style="1422" customWidth="1"/>
    <col min="777" max="777" width="8.1640625" style="1422" customWidth="1"/>
    <col min="778" max="782" width="9.5" style="1422" customWidth="1"/>
    <col min="783" max="783" width="12.6640625" style="1422" customWidth="1"/>
    <col min="784" max="785" width="9.33203125" style="1422"/>
    <col min="786" max="786" width="11.83203125" style="1422" bestFit="1" customWidth="1"/>
    <col min="787" max="1024" width="9.33203125" style="1422"/>
    <col min="1025" max="1025" width="4.83203125" style="1422" customWidth="1"/>
    <col min="1026" max="1026" width="30.1640625" style="1422" customWidth="1"/>
    <col min="1027" max="1028" width="9" style="1422" customWidth="1"/>
    <col min="1029" max="1029" width="9.5" style="1422" customWidth="1"/>
    <col min="1030" max="1030" width="8.83203125" style="1422" customWidth="1"/>
    <col min="1031" max="1031" width="10.1640625" style="1422" customWidth="1"/>
    <col min="1032" max="1032" width="8.83203125" style="1422" customWidth="1"/>
    <col min="1033" max="1033" width="8.1640625" style="1422" customWidth="1"/>
    <col min="1034" max="1038" width="9.5" style="1422" customWidth="1"/>
    <col min="1039" max="1039" width="12.6640625" style="1422" customWidth="1"/>
    <col min="1040" max="1041" width="9.33203125" style="1422"/>
    <col min="1042" max="1042" width="11.83203125" style="1422" bestFit="1" customWidth="1"/>
    <col min="1043" max="1280" width="9.33203125" style="1422"/>
    <col min="1281" max="1281" width="4.83203125" style="1422" customWidth="1"/>
    <col min="1282" max="1282" width="30.1640625" style="1422" customWidth="1"/>
    <col min="1283" max="1284" width="9" style="1422" customWidth="1"/>
    <col min="1285" max="1285" width="9.5" style="1422" customWidth="1"/>
    <col min="1286" max="1286" width="8.83203125" style="1422" customWidth="1"/>
    <col min="1287" max="1287" width="10.1640625" style="1422" customWidth="1"/>
    <col min="1288" max="1288" width="8.83203125" style="1422" customWidth="1"/>
    <col min="1289" max="1289" width="8.1640625" style="1422" customWidth="1"/>
    <col min="1290" max="1294" width="9.5" style="1422" customWidth="1"/>
    <col min="1295" max="1295" width="12.6640625" style="1422" customWidth="1"/>
    <col min="1296" max="1297" width="9.33203125" style="1422"/>
    <col min="1298" max="1298" width="11.83203125" style="1422" bestFit="1" customWidth="1"/>
    <col min="1299" max="1536" width="9.33203125" style="1422"/>
    <col min="1537" max="1537" width="4.83203125" style="1422" customWidth="1"/>
    <col min="1538" max="1538" width="30.1640625" style="1422" customWidth="1"/>
    <col min="1539" max="1540" width="9" style="1422" customWidth="1"/>
    <col min="1541" max="1541" width="9.5" style="1422" customWidth="1"/>
    <col min="1542" max="1542" width="8.83203125" style="1422" customWidth="1"/>
    <col min="1543" max="1543" width="10.1640625" style="1422" customWidth="1"/>
    <col min="1544" max="1544" width="8.83203125" style="1422" customWidth="1"/>
    <col min="1545" max="1545" width="8.1640625" style="1422" customWidth="1"/>
    <col min="1546" max="1550" width="9.5" style="1422" customWidth="1"/>
    <col min="1551" max="1551" width="12.6640625" style="1422" customWidth="1"/>
    <col min="1552" max="1553" width="9.33203125" style="1422"/>
    <col min="1554" max="1554" width="11.83203125" style="1422" bestFit="1" customWidth="1"/>
    <col min="1555" max="1792" width="9.33203125" style="1422"/>
    <col min="1793" max="1793" width="4.83203125" style="1422" customWidth="1"/>
    <col min="1794" max="1794" width="30.1640625" style="1422" customWidth="1"/>
    <col min="1795" max="1796" width="9" style="1422" customWidth="1"/>
    <col min="1797" max="1797" width="9.5" style="1422" customWidth="1"/>
    <col min="1798" max="1798" width="8.83203125" style="1422" customWidth="1"/>
    <col min="1799" max="1799" width="10.1640625" style="1422" customWidth="1"/>
    <col min="1800" max="1800" width="8.83203125" style="1422" customWidth="1"/>
    <col min="1801" max="1801" width="8.1640625" style="1422" customWidth="1"/>
    <col min="1802" max="1806" width="9.5" style="1422" customWidth="1"/>
    <col min="1807" max="1807" width="12.6640625" style="1422" customWidth="1"/>
    <col min="1808" max="1809" width="9.33203125" style="1422"/>
    <col min="1810" max="1810" width="11.83203125" style="1422" bestFit="1" customWidth="1"/>
    <col min="1811" max="2048" width="9.33203125" style="1422"/>
    <col min="2049" max="2049" width="4.83203125" style="1422" customWidth="1"/>
    <col min="2050" max="2050" width="30.1640625" style="1422" customWidth="1"/>
    <col min="2051" max="2052" width="9" style="1422" customWidth="1"/>
    <col min="2053" max="2053" width="9.5" style="1422" customWidth="1"/>
    <col min="2054" max="2054" width="8.83203125" style="1422" customWidth="1"/>
    <col min="2055" max="2055" width="10.1640625" style="1422" customWidth="1"/>
    <col min="2056" max="2056" width="8.83203125" style="1422" customWidth="1"/>
    <col min="2057" max="2057" width="8.1640625" style="1422" customWidth="1"/>
    <col min="2058" max="2062" width="9.5" style="1422" customWidth="1"/>
    <col min="2063" max="2063" width="12.6640625" style="1422" customWidth="1"/>
    <col min="2064" max="2065" width="9.33203125" style="1422"/>
    <col min="2066" max="2066" width="11.83203125" style="1422" bestFit="1" customWidth="1"/>
    <col min="2067" max="2304" width="9.33203125" style="1422"/>
    <col min="2305" max="2305" width="4.83203125" style="1422" customWidth="1"/>
    <col min="2306" max="2306" width="30.1640625" style="1422" customWidth="1"/>
    <col min="2307" max="2308" width="9" style="1422" customWidth="1"/>
    <col min="2309" max="2309" width="9.5" style="1422" customWidth="1"/>
    <col min="2310" max="2310" width="8.83203125" style="1422" customWidth="1"/>
    <col min="2311" max="2311" width="10.1640625" style="1422" customWidth="1"/>
    <col min="2312" max="2312" width="8.83203125" style="1422" customWidth="1"/>
    <col min="2313" max="2313" width="8.1640625" style="1422" customWidth="1"/>
    <col min="2314" max="2318" width="9.5" style="1422" customWidth="1"/>
    <col min="2319" max="2319" width="12.6640625" style="1422" customWidth="1"/>
    <col min="2320" max="2321" width="9.33203125" style="1422"/>
    <col min="2322" max="2322" width="11.83203125" style="1422" bestFit="1" customWidth="1"/>
    <col min="2323" max="2560" width="9.33203125" style="1422"/>
    <col min="2561" max="2561" width="4.83203125" style="1422" customWidth="1"/>
    <col min="2562" max="2562" width="30.1640625" style="1422" customWidth="1"/>
    <col min="2563" max="2564" width="9" style="1422" customWidth="1"/>
    <col min="2565" max="2565" width="9.5" style="1422" customWidth="1"/>
    <col min="2566" max="2566" width="8.83203125" style="1422" customWidth="1"/>
    <col min="2567" max="2567" width="10.1640625" style="1422" customWidth="1"/>
    <col min="2568" max="2568" width="8.83203125" style="1422" customWidth="1"/>
    <col min="2569" max="2569" width="8.1640625" style="1422" customWidth="1"/>
    <col min="2570" max="2574" width="9.5" style="1422" customWidth="1"/>
    <col min="2575" max="2575" width="12.6640625" style="1422" customWidth="1"/>
    <col min="2576" max="2577" width="9.33203125" style="1422"/>
    <col min="2578" max="2578" width="11.83203125" style="1422" bestFit="1" customWidth="1"/>
    <col min="2579" max="2816" width="9.33203125" style="1422"/>
    <col min="2817" max="2817" width="4.83203125" style="1422" customWidth="1"/>
    <col min="2818" max="2818" width="30.1640625" style="1422" customWidth="1"/>
    <col min="2819" max="2820" width="9" style="1422" customWidth="1"/>
    <col min="2821" max="2821" width="9.5" style="1422" customWidth="1"/>
    <col min="2822" max="2822" width="8.83203125" style="1422" customWidth="1"/>
    <col min="2823" max="2823" width="10.1640625" style="1422" customWidth="1"/>
    <col min="2824" max="2824" width="8.83203125" style="1422" customWidth="1"/>
    <col min="2825" max="2825" width="8.1640625" style="1422" customWidth="1"/>
    <col min="2826" max="2830" width="9.5" style="1422" customWidth="1"/>
    <col min="2831" max="2831" width="12.6640625" style="1422" customWidth="1"/>
    <col min="2832" max="2833" width="9.33203125" style="1422"/>
    <col min="2834" max="2834" width="11.83203125" style="1422" bestFit="1" customWidth="1"/>
    <col min="2835" max="3072" width="9.33203125" style="1422"/>
    <col min="3073" max="3073" width="4.83203125" style="1422" customWidth="1"/>
    <col min="3074" max="3074" width="30.1640625" style="1422" customWidth="1"/>
    <col min="3075" max="3076" width="9" style="1422" customWidth="1"/>
    <col min="3077" max="3077" width="9.5" style="1422" customWidth="1"/>
    <col min="3078" max="3078" width="8.83203125" style="1422" customWidth="1"/>
    <col min="3079" max="3079" width="10.1640625" style="1422" customWidth="1"/>
    <col min="3080" max="3080" width="8.83203125" style="1422" customWidth="1"/>
    <col min="3081" max="3081" width="8.1640625" style="1422" customWidth="1"/>
    <col min="3082" max="3086" width="9.5" style="1422" customWidth="1"/>
    <col min="3087" max="3087" width="12.6640625" style="1422" customWidth="1"/>
    <col min="3088" max="3089" width="9.33203125" style="1422"/>
    <col min="3090" max="3090" width="11.83203125" style="1422" bestFit="1" customWidth="1"/>
    <col min="3091" max="3328" width="9.33203125" style="1422"/>
    <col min="3329" max="3329" width="4.83203125" style="1422" customWidth="1"/>
    <col min="3330" max="3330" width="30.1640625" style="1422" customWidth="1"/>
    <col min="3331" max="3332" width="9" style="1422" customWidth="1"/>
    <col min="3333" max="3333" width="9.5" style="1422" customWidth="1"/>
    <col min="3334" max="3334" width="8.83203125" style="1422" customWidth="1"/>
    <col min="3335" max="3335" width="10.1640625" style="1422" customWidth="1"/>
    <col min="3336" max="3336" width="8.83203125" style="1422" customWidth="1"/>
    <col min="3337" max="3337" width="8.1640625" style="1422" customWidth="1"/>
    <col min="3338" max="3342" width="9.5" style="1422" customWidth="1"/>
    <col min="3343" max="3343" width="12.6640625" style="1422" customWidth="1"/>
    <col min="3344" max="3345" width="9.33203125" style="1422"/>
    <col min="3346" max="3346" width="11.83203125" style="1422" bestFit="1" customWidth="1"/>
    <col min="3347" max="3584" width="9.33203125" style="1422"/>
    <col min="3585" max="3585" width="4.83203125" style="1422" customWidth="1"/>
    <col min="3586" max="3586" width="30.1640625" style="1422" customWidth="1"/>
    <col min="3587" max="3588" width="9" style="1422" customWidth="1"/>
    <col min="3589" max="3589" width="9.5" style="1422" customWidth="1"/>
    <col min="3590" max="3590" width="8.83203125" style="1422" customWidth="1"/>
    <col min="3591" max="3591" width="10.1640625" style="1422" customWidth="1"/>
    <col min="3592" max="3592" width="8.83203125" style="1422" customWidth="1"/>
    <col min="3593" max="3593" width="8.1640625" style="1422" customWidth="1"/>
    <col min="3594" max="3598" width="9.5" style="1422" customWidth="1"/>
    <col min="3599" max="3599" width="12.6640625" style="1422" customWidth="1"/>
    <col min="3600" max="3601" width="9.33203125" style="1422"/>
    <col min="3602" max="3602" width="11.83203125" style="1422" bestFit="1" customWidth="1"/>
    <col min="3603" max="3840" width="9.33203125" style="1422"/>
    <col min="3841" max="3841" width="4.83203125" style="1422" customWidth="1"/>
    <col min="3842" max="3842" width="30.1640625" style="1422" customWidth="1"/>
    <col min="3843" max="3844" width="9" style="1422" customWidth="1"/>
    <col min="3845" max="3845" width="9.5" style="1422" customWidth="1"/>
    <col min="3846" max="3846" width="8.83203125" style="1422" customWidth="1"/>
    <col min="3847" max="3847" width="10.1640625" style="1422" customWidth="1"/>
    <col min="3848" max="3848" width="8.83203125" style="1422" customWidth="1"/>
    <col min="3849" max="3849" width="8.1640625" style="1422" customWidth="1"/>
    <col min="3850" max="3854" width="9.5" style="1422" customWidth="1"/>
    <col min="3855" max="3855" width="12.6640625" style="1422" customWidth="1"/>
    <col min="3856" max="3857" width="9.33203125" style="1422"/>
    <col min="3858" max="3858" width="11.83203125" style="1422" bestFit="1" customWidth="1"/>
    <col min="3859" max="4096" width="9.33203125" style="1422"/>
    <col min="4097" max="4097" width="4.83203125" style="1422" customWidth="1"/>
    <col min="4098" max="4098" width="30.1640625" style="1422" customWidth="1"/>
    <col min="4099" max="4100" width="9" style="1422" customWidth="1"/>
    <col min="4101" max="4101" width="9.5" style="1422" customWidth="1"/>
    <col min="4102" max="4102" width="8.83203125" style="1422" customWidth="1"/>
    <col min="4103" max="4103" width="10.1640625" style="1422" customWidth="1"/>
    <col min="4104" max="4104" width="8.83203125" style="1422" customWidth="1"/>
    <col min="4105" max="4105" width="8.1640625" style="1422" customWidth="1"/>
    <col min="4106" max="4110" width="9.5" style="1422" customWidth="1"/>
    <col min="4111" max="4111" width="12.6640625" style="1422" customWidth="1"/>
    <col min="4112" max="4113" width="9.33203125" style="1422"/>
    <col min="4114" max="4114" width="11.83203125" style="1422" bestFit="1" customWidth="1"/>
    <col min="4115" max="4352" width="9.33203125" style="1422"/>
    <col min="4353" max="4353" width="4.83203125" style="1422" customWidth="1"/>
    <col min="4354" max="4354" width="30.1640625" style="1422" customWidth="1"/>
    <col min="4355" max="4356" width="9" style="1422" customWidth="1"/>
    <col min="4357" max="4357" width="9.5" style="1422" customWidth="1"/>
    <col min="4358" max="4358" width="8.83203125" style="1422" customWidth="1"/>
    <col min="4359" max="4359" width="10.1640625" style="1422" customWidth="1"/>
    <col min="4360" max="4360" width="8.83203125" style="1422" customWidth="1"/>
    <col min="4361" max="4361" width="8.1640625" style="1422" customWidth="1"/>
    <col min="4362" max="4366" width="9.5" style="1422" customWidth="1"/>
    <col min="4367" max="4367" width="12.6640625" style="1422" customWidth="1"/>
    <col min="4368" max="4369" width="9.33203125" style="1422"/>
    <col min="4370" max="4370" width="11.83203125" style="1422" bestFit="1" customWidth="1"/>
    <col min="4371" max="4608" width="9.33203125" style="1422"/>
    <col min="4609" max="4609" width="4.83203125" style="1422" customWidth="1"/>
    <col min="4610" max="4610" width="30.1640625" style="1422" customWidth="1"/>
    <col min="4611" max="4612" width="9" style="1422" customWidth="1"/>
    <col min="4613" max="4613" width="9.5" style="1422" customWidth="1"/>
    <col min="4614" max="4614" width="8.83203125" style="1422" customWidth="1"/>
    <col min="4615" max="4615" width="10.1640625" style="1422" customWidth="1"/>
    <col min="4616" max="4616" width="8.83203125" style="1422" customWidth="1"/>
    <col min="4617" max="4617" width="8.1640625" style="1422" customWidth="1"/>
    <col min="4618" max="4622" width="9.5" style="1422" customWidth="1"/>
    <col min="4623" max="4623" width="12.6640625" style="1422" customWidth="1"/>
    <col min="4624" max="4625" width="9.33203125" style="1422"/>
    <col min="4626" max="4626" width="11.83203125" style="1422" bestFit="1" customWidth="1"/>
    <col min="4627" max="4864" width="9.33203125" style="1422"/>
    <col min="4865" max="4865" width="4.83203125" style="1422" customWidth="1"/>
    <col min="4866" max="4866" width="30.1640625" style="1422" customWidth="1"/>
    <col min="4867" max="4868" width="9" style="1422" customWidth="1"/>
    <col min="4869" max="4869" width="9.5" style="1422" customWidth="1"/>
    <col min="4870" max="4870" width="8.83203125" style="1422" customWidth="1"/>
    <col min="4871" max="4871" width="10.1640625" style="1422" customWidth="1"/>
    <col min="4872" max="4872" width="8.83203125" style="1422" customWidth="1"/>
    <col min="4873" max="4873" width="8.1640625" style="1422" customWidth="1"/>
    <col min="4874" max="4878" width="9.5" style="1422" customWidth="1"/>
    <col min="4879" max="4879" width="12.6640625" style="1422" customWidth="1"/>
    <col min="4880" max="4881" width="9.33203125" style="1422"/>
    <col min="4882" max="4882" width="11.83203125" style="1422" bestFit="1" customWidth="1"/>
    <col min="4883" max="5120" width="9.33203125" style="1422"/>
    <col min="5121" max="5121" width="4.83203125" style="1422" customWidth="1"/>
    <col min="5122" max="5122" width="30.1640625" style="1422" customWidth="1"/>
    <col min="5123" max="5124" width="9" style="1422" customWidth="1"/>
    <col min="5125" max="5125" width="9.5" style="1422" customWidth="1"/>
    <col min="5126" max="5126" width="8.83203125" style="1422" customWidth="1"/>
    <col min="5127" max="5127" width="10.1640625" style="1422" customWidth="1"/>
    <col min="5128" max="5128" width="8.83203125" style="1422" customWidth="1"/>
    <col min="5129" max="5129" width="8.1640625" style="1422" customWidth="1"/>
    <col min="5130" max="5134" width="9.5" style="1422" customWidth="1"/>
    <col min="5135" max="5135" width="12.6640625" style="1422" customWidth="1"/>
    <col min="5136" max="5137" width="9.33203125" style="1422"/>
    <col min="5138" max="5138" width="11.83203125" style="1422" bestFit="1" customWidth="1"/>
    <col min="5139" max="5376" width="9.33203125" style="1422"/>
    <col min="5377" max="5377" width="4.83203125" style="1422" customWidth="1"/>
    <col min="5378" max="5378" width="30.1640625" style="1422" customWidth="1"/>
    <col min="5379" max="5380" width="9" style="1422" customWidth="1"/>
    <col min="5381" max="5381" width="9.5" style="1422" customWidth="1"/>
    <col min="5382" max="5382" width="8.83203125" style="1422" customWidth="1"/>
    <col min="5383" max="5383" width="10.1640625" style="1422" customWidth="1"/>
    <col min="5384" max="5384" width="8.83203125" style="1422" customWidth="1"/>
    <col min="5385" max="5385" width="8.1640625" style="1422" customWidth="1"/>
    <col min="5386" max="5390" width="9.5" style="1422" customWidth="1"/>
    <col min="5391" max="5391" width="12.6640625" style="1422" customWidth="1"/>
    <col min="5392" max="5393" width="9.33203125" style="1422"/>
    <col min="5394" max="5394" width="11.83203125" style="1422" bestFit="1" customWidth="1"/>
    <col min="5395" max="5632" width="9.33203125" style="1422"/>
    <col min="5633" max="5633" width="4.83203125" style="1422" customWidth="1"/>
    <col min="5634" max="5634" width="30.1640625" style="1422" customWidth="1"/>
    <col min="5635" max="5636" width="9" style="1422" customWidth="1"/>
    <col min="5637" max="5637" width="9.5" style="1422" customWidth="1"/>
    <col min="5638" max="5638" width="8.83203125" style="1422" customWidth="1"/>
    <col min="5639" max="5639" width="10.1640625" style="1422" customWidth="1"/>
    <col min="5640" max="5640" width="8.83203125" style="1422" customWidth="1"/>
    <col min="5641" max="5641" width="8.1640625" style="1422" customWidth="1"/>
    <col min="5642" max="5646" width="9.5" style="1422" customWidth="1"/>
    <col min="5647" max="5647" width="12.6640625" style="1422" customWidth="1"/>
    <col min="5648" max="5649" width="9.33203125" style="1422"/>
    <col min="5650" max="5650" width="11.83203125" style="1422" bestFit="1" customWidth="1"/>
    <col min="5651" max="5888" width="9.33203125" style="1422"/>
    <col min="5889" max="5889" width="4.83203125" style="1422" customWidth="1"/>
    <col min="5890" max="5890" width="30.1640625" style="1422" customWidth="1"/>
    <col min="5891" max="5892" width="9" style="1422" customWidth="1"/>
    <col min="5893" max="5893" width="9.5" style="1422" customWidth="1"/>
    <col min="5894" max="5894" width="8.83203125" style="1422" customWidth="1"/>
    <col min="5895" max="5895" width="10.1640625" style="1422" customWidth="1"/>
    <col min="5896" max="5896" width="8.83203125" style="1422" customWidth="1"/>
    <col min="5897" max="5897" width="8.1640625" style="1422" customWidth="1"/>
    <col min="5898" max="5902" width="9.5" style="1422" customWidth="1"/>
    <col min="5903" max="5903" width="12.6640625" style="1422" customWidth="1"/>
    <col min="5904" max="5905" width="9.33203125" style="1422"/>
    <col min="5906" max="5906" width="11.83203125" style="1422" bestFit="1" customWidth="1"/>
    <col min="5907" max="6144" width="9.33203125" style="1422"/>
    <col min="6145" max="6145" width="4.83203125" style="1422" customWidth="1"/>
    <col min="6146" max="6146" width="30.1640625" style="1422" customWidth="1"/>
    <col min="6147" max="6148" width="9" style="1422" customWidth="1"/>
    <col min="6149" max="6149" width="9.5" style="1422" customWidth="1"/>
    <col min="6150" max="6150" width="8.83203125" style="1422" customWidth="1"/>
    <col min="6151" max="6151" width="10.1640625" style="1422" customWidth="1"/>
    <col min="6152" max="6152" width="8.83203125" style="1422" customWidth="1"/>
    <col min="6153" max="6153" width="8.1640625" style="1422" customWidth="1"/>
    <col min="6154" max="6158" width="9.5" style="1422" customWidth="1"/>
    <col min="6159" max="6159" width="12.6640625" style="1422" customWidth="1"/>
    <col min="6160" max="6161" width="9.33203125" style="1422"/>
    <col min="6162" max="6162" width="11.83203125" style="1422" bestFit="1" customWidth="1"/>
    <col min="6163" max="6400" width="9.33203125" style="1422"/>
    <col min="6401" max="6401" width="4.83203125" style="1422" customWidth="1"/>
    <col min="6402" max="6402" width="30.1640625" style="1422" customWidth="1"/>
    <col min="6403" max="6404" width="9" style="1422" customWidth="1"/>
    <col min="6405" max="6405" width="9.5" style="1422" customWidth="1"/>
    <col min="6406" max="6406" width="8.83203125" style="1422" customWidth="1"/>
    <col min="6407" max="6407" width="10.1640625" style="1422" customWidth="1"/>
    <col min="6408" max="6408" width="8.83203125" style="1422" customWidth="1"/>
    <col min="6409" max="6409" width="8.1640625" style="1422" customWidth="1"/>
    <col min="6410" max="6414" width="9.5" style="1422" customWidth="1"/>
    <col min="6415" max="6415" width="12.6640625" style="1422" customWidth="1"/>
    <col min="6416" max="6417" width="9.33203125" style="1422"/>
    <col min="6418" max="6418" width="11.83203125" style="1422" bestFit="1" customWidth="1"/>
    <col min="6419" max="6656" width="9.33203125" style="1422"/>
    <col min="6657" max="6657" width="4.83203125" style="1422" customWidth="1"/>
    <col min="6658" max="6658" width="30.1640625" style="1422" customWidth="1"/>
    <col min="6659" max="6660" width="9" style="1422" customWidth="1"/>
    <col min="6661" max="6661" width="9.5" style="1422" customWidth="1"/>
    <col min="6662" max="6662" width="8.83203125" style="1422" customWidth="1"/>
    <col min="6663" max="6663" width="10.1640625" style="1422" customWidth="1"/>
    <col min="6664" max="6664" width="8.83203125" style="1422" customWidth="1"/>
    <col min="6665" max="6665" width="8.1640625" style="1422" customWidth="1"/>
    <col min="6666" max="6670" width="9.5" style="1422" customWidth="1"/>
    <col min="6671" max="6671" width="12.6640625" style="1422" customWidth="1"/>
    <col min="6672" max="6673" width="9.33203125" style="1422"/>
    <col min="6674" max="6674" width="11.83203125" style="1422" bestFit="1" customWidth="1"/>
    <col min="6675" max="6912" width="9.33203125" style="1422"/>
    <col min="6913" max="6913" width="4.83203125" style="1422" customWidth="1"/>
    <col min="6914" max="6914" width="30.1640625" style="1422" customWidth="1"/>
    <col min="6915" max="6916" width="9" style="1422" customWidth="1"/>
    <col min="6917" max="6917" width="9.5" style="1422" customWidth="1"/>
    <col min="6918" max="6918" width="8.83203125" style="1422" customWidth="1"/>
    <col min="6919" max="6919" width="10.1640625" style="1422" customWidth="1"/>
    <col min="6920" max="6920" width="8.83203125" style="1422" customWidth="1"/>
    <col min="6921" max="6921" width="8.1640625" style="1422" customWidth="1"/>
    <col min="6922" max="6926" width="9.5" style="1422" customWidth="1"/>
    <col min="6927" max="6927" width="12.6640625" style="1422" customWidth="1"/>
    <col min="6928" max="6929" width="9.33203125" style="1422"/>
    <col min="6930" max="6930" width="11.83203125" style="1422" bestFit="1" customWidth="1"/>
    <col min="6931" max="7168" width="9.33203125" style="1422"/>
    <col min="7169" max="7169" width="4.83203125" style="1422" customWidth="1"/>
    <col min="7170" max="7170" width="30.1640625" style="1422" customWidth="1"/>
    <col min="7171" max="7172" width="9" style="1422" customWidth="1"/>
    <col min="7173" max="7173" width="9.5" style="1422" customWidth="1"/>
    <col min="7174" max="7174" width="8.83203125" style="1422" customWidth="1"/>
    <col min="7175" max="7175" width="10.1640625" style="1422" customWidth="1"/>
    <col min="7176" max="7176" width="8.83203125" style="1422" customWidth="1"/>
    <col min="7177" max="7177" width="8.1640625" style="1422" customWidth="1"/>
    <col min="7178" max="7182" width="9.5" style="1422" customWidth="1"/>
    <col min="7183" max="7183" width="12.6640625" style="1422" customWidth="1"/>
    <col min="7184" max="7185" width="9.33203125" style="1422"/>
    <col min="7186" max="7186" width="11.83203125" style="1422" bestFit="1" customWidth="1"/>
    <col min="7187" max="7424" width="9.33203125" style="1422"/>
    <col min="7425" max="7425" width="4.83203125" style="1422" customWidth="1"/>
    <col min="7426" max="7426" width="30.1640625" style="1422" customWidth="1"/>
    <col min="7427" max="7428" width="9" style="1422" customWidth="1"/>
    <col min="7429" max="7429" width="9.5" style="1422" customWidth="1"/>
    <col min="7430" max="7430" width="8.83203125" style="1422" customWidth="1"/>
    <col min="7431" max="7431" width="10.1640625" style="1422" customWidth="1"/>
    <col min="7432" max="7432" width="8.83203125" style="1422" customWidth="1"/>
    <col min="7433" max="7433" width="8.1640625" style="1422" customWidth="1"/>
    <col min="7434" max="7438" width="9.5" style="1422" customWidth="1"/>
    <col min="7439" max="7439" width="12.6640625" style="1422" customWidth="1"/>
    <col min="7440" max="7441" width="9.33203125" style="1422"/>
    <col min="7442" max="7442" width="11.83203125" style="1422" bestFit="1" customWidth="1"/>
    <col min="7443" max="7680" width="9.33203125" style="1422"/>
    <col min="7681" max="7681" width="4.83203125" style="1422" customWidth="1"/>
    <col min="7682" max="7682" width="30.1640625" style="1422" customWidth="1"/>
    <col min="7683" max="7684" width="9" style="1422" customWidth="1"/>
    <col min="7685" max="7685" width="9.5" style="1422" customWidth="1"/>
    <col min="7686" max="7686" width="8.83203125" style="1422" customWidth="1"/>
    <col min="7687" max="7687" width="10.1640625" style="1422" customWidth="1"/>
    <col min="7688" max="7688" width="8.83203125" style="1422" customWidth="1"/>
    <col min="7689" max="7689" width="8.1640625" style="1422" customWidth="1"/>
    <col min="7690" max="7694" width="9.5" style="1422" customWidth="1"/>
    <col min="7695" max="7695" width="12.6640625" style="1422" customWidth="1"/>
    <col min="7696" max="7697" width="9.33203125" style="1422"/>
    <col min="7698" max="7698" width="11.83203125" style="1422" bestFit="1" customWidth="1"/>
    <col min="7699" max="7936" width="9.33203125" style="1422"/>
    <col min="7937" max="7937" width="4.83203125" style="1422" customWidth="1"/>
    <col min="7938" max="7938" width="30.1640625" style="1422" customWidth="1"/>
    <col min="7939" max="7940" width="9" style="1422" customWidth="1"/>
    <col min="7941" max="7941" width="9.5" style="1422" customWidth="1"/>
    <col min="7942" max="7942" width="8.83203125" style="1422" customWidth="1"/>
    <col min="7943" max="7943" width="10.1640625" style="1422" customWidth="1"/>
    <col min="7944" max="7944" width="8.83203125" style="1422" customWidth="1"/>
    <col min="7945" max="7945" width="8.1640625" style="1422" customWidth="1"/>
    <col min="7946" max="7950" width="9.5" style="1422" customWidth="1"/>
    <col min="7951" max="7951" width="12.6640625" style="1422" customWidth="1"/>
    <col min="7952" max="7953" width="9.33203125" style="1422"/>
    <col min="7954" max="7954" width="11.83203125" style="1422" bestFit="1" customWidth="1"/>
    <col min="7955" max="8192" width="9.33203125" style="1422"/>
    <col min="8193" max="8193" width="4.83203125" style="1422" customWidth="1"/>
    <col min="8194" max="8194" width="30.1640625" style="1422" customWidth="1"/>
    <col min="8195" max="8196" width="9" style="1422" customWidth="1"/>
    <col min="8197" max="8197" width="9.5" style="1422" customWidth="1"/>
    <col min="8198" max="8198" width="8.83203125" style="1422" customWidth="1"/>
    <col min="8199" max="8199" width="10.1640625" style="1422" customWidth="1"/>
    <col min="8200" max="8200" width="8.83203125" style="1422" customWidth="1"/>
    <col min="8201" max="8201" width="8.1640625" style="1422" customWidth="1"/>
    <col min="8202" max="8206" width="9.5" style="1422" customWidth="1"/>
    <col min="8207" max="8207" width="12.6640625" style="1422" customWidth="1"/>
    <col min="8208" max="8209" width="9.33203125" style="1422"/>
    <col min="8210" max="8210" width="11.83203125" style="1422" bestFit="1" customWidth="1"/>
    <col min="8211" max="8448" width="9.33203125" style="1422"/>
    <col min="8449" max="8449" width="4.83203125" style="1422" customWidth="1"/>
    <col min="8450" max="8450" width="30.1640625" style="1422" customWidth="1"/>
    <col min="8451" max="8452" width="9" style="1422" customWidth="1"/>
    <col min="8453" max="8453" width="9.5" style="1422" customWidth="1"/>
    <col min="8454" max="8454" width="8.83203125" style="1422" customWidth="1"/>
    <col min="8455" max="8455" width="10.1640625" style="1422" customWidth="1"/>
    <col min="8456" max="8456" width="8.83203125" style="1422" customWidth="1"/>
    <col min="8457" max="8457" width="8.1640625" style="1422" customWidth="1"/>
    <col min="8458" max="8462" width="9.5" style="1422" customWidth="1"/>
    <col min="8463" max="8463" width="12.6640625" style="1422" customWidth="1"/>
    <col min="8464" max="8465" width="9.33203125" style="1422"/>
    <col min="8466" max="8466" width="11.83203125" style="1422" bestFit="1" customWidth="1"/>
    <col min="8467" max="8704" width="9.33203125" style="1422"/>
    <col min="8705" max="8705" width="4.83203125" style="1422" customWidth="1"/>
    <col min="8706" max="8706" width="30.1640625" style="1422" customWidth="1"/>
    <col min="8707" max="8708" width="9" style="1422" customWidth="1"/>
    <col min="8709" max="8709" width="9.5" style="1422" customWidth="1"/>
    <col min="8710" max="8710" width="8.83203125" style="1422" customWidth="1"/>
    <col min="8711" max="8711" width="10.1640625" style="1422" customWidth="1"/>
    <col min="8712" max="8712" width="8.83203125" style="1422" customWidth="1"/>
    <col min="8713" max="8713" width="8.1640625" style="1422" customWidth="1"/>
    <col min="8714" max="8718" width="9.5" style="1422" customWidth="1"/>
    <col min="8719" max="8719" width="12.6640625" style="1422" customWidth="1"/>
    <col min="8720" max="8721" width="9.33203125" style="1422"/>
    <col min="8722" max="8722" width="11.83203125" style="1422" bestFit="1" customWidth="1"/>
    <col min="8723" max="8960" width="9.33203125" style="1422"/>
    <col min="8961" max="8961" width="4.83203125" style="1422" customWidth="1"/>
    <col min="8962" max="8962" width="30.1640625" style="1422" customWidth="1"/>
    <col min="8963" max="8964" width="9" style="1422" customWidth="1"/>
    <col min="8965" max="8965" width="9.5" style="1422" customWidth="1"/>
    <col min="8966" max="8966" width="8.83203125" style="1422" customWidth="1"/>
    <col min="8967" max="8967" width="10.1640625" style="1422" customWidth="1"/>
    <col min="8968" max="8968" width="8.83203125" style="1422" customWidth="1"/>
    <col min="8969" max="8969" width="8.1640625" style="1422" customWidth="1"/>
    <col min="8970" max="8974" width="9.5" style="1422" customWidth="1"/>
    <col min="8975" max="8975" width="12.6640625" style="1422" customWidth="1"/>
    <col min="8976" max="8977" width="9.33203125" style="1422"/>
    <col min="8978" max="8978" width="11.83203125" style="1422" bestFit="1" customWidth="1"/>
    <col min="8979" max="9216" width="9.33203125" style="1422"/>
    <col min="9217" max="9217" width="4.83203125" style="1422" customWidth="1"/>
    <col min="9218" max="9218" width="30.1640625" style="1422" customWidth="1"/>
    <col min="9219" max="9220" width="9" style="1422" customWidth="1"/>
    <col min="9221" max="9221" width="9.5" style="1422" customWidth="1"/>
    <col min="9222" max="9222" width="8.83203125" style="1422" customWidth="1"/>
    <col min="9223" max="9223" width="10.1640625" style="1422" customWidth="1"/>
    <col min="9224" max="9224" width="8.83203125" style="1422" customWidth="1"/>
    <col min="9225" max="9225" width="8.1640625" style="1422" customWidth="1"/>
    <col min="9226" max="9230" width="9.5" style="1422" customWidth="1"/>
    <col min="9231" max="9231" width="12.6640625" style="1422" customWidth="1"/>
    <col min="9232" max="9233" width="9.33203125" style="1422"/>
    <col min="9234" max="9234" width="11.83203125" style="1422" bestFit="1" customWidth="1"/>
    <col min="9235" max="9472" width="9.33203125" style="1422"/>
    <col min="9473" max="9473" width="4.83203125" style="1422" customWidth="1"/>
    <col min="9474" max="9474" width="30.1640625" style="1422" customWidth="1"/>
    <col min="9475" max="9476" width="9" style="1422" customWidth="1"/>
    <col min="9477" max="9477" width="9.5" style="1422" customWidth="1"/>
    <col min="9478" max="9478" width="8.83203125" style="1422" customWidth="1"/>
    <col min="9479" max="9479" width="10.1640625" style="1422" customWidth="1"/>
    <col min="9480" max="9480" width="8.83203125" style="1422" customWidth="1"/>
    <col min="9481" max="9481" width="8.1640625" style="1422" customWidth="1"/>
    <col min="9482" max="9486" width="9.5" style="1422" customWidth="1"/>
    <col min="9487" max="9487" width="12.6640625" style="1422" customWidth="1"/>
    <col min="9488" max="9489" width="9.33203125" style="1422"/>
    <col min="9490" max="9490" width="11.83203125" style="1422" bestFit="1" customWidth="1"/>
    <col min="9491" max="9728" width="9.33203125" style="1422"/>
    <col min="9729" max="9729" width="4.83203125" style="1422" customWidth="1"/>
    <col min="9730" max="9730" width="30.1640625" style="1422" customWidth="1"/>
    <col min="9731" max="9732" width="9" style="1422" customWidth="1"/>
    <col min="9733" max="9733" width="9.5" style="1422" customWidth="1"/>
    <col min="9734" max="9734" width="8.83203125" style="1422" customWidth="1"/>
    <col min="9735" max="9735" width="10.1640625" style="1422" customWidth="1"/>
    <col min="9736" max="9736" width="8.83203125" style="1422" customWidth="1"/>
    <col min="9737" max="9737" width="8.1640625" style="1422" customWidth="1"/>
    <col min="9738" max="9742" width="9.5" style="1422" customWidth="1"/>
    <col min="9743" max="9743" width="12.6640625" style="1422" customWidth="1"/>
    <col min="9744" max="9745" width="9.33203125" style="1422"/>
    <col min="9746" max="9746" width="11.83203125" style="1422" bestFit="1" customWidth="1"/>
    <col min="9747" max="9984" width="9.33203125" style="1422"/>
    <col min="9985" max="9985" width="4.83203125" style="1422" customWidth="1"/>
    <col min="9986" max="9986" width="30.1640625" style="1422" customWidth="1"/>
    <col min="9987" max="9988" width="9" style="1422" customWidth="1"/>
    <col min="9989" max="9989" width="9.5" style="1422" customWidth="1"/>
    <col min="9990" max="9990" width="8.83203125" style="1422" customWidth="1"/>
    <col min="9991" max="9991" width="10.1640625" style="1422" customWidth="1"/>
    <col min="9992" max="9992" width="8.83203125" style="1422" customWidth="1"/>
    <col min="9993" max="9993" width="8.1640625" style="1422" customWidth="1"/>
    <col min="9994" max="9998" width="9.5" style="1422" customWidth="1"/>
    <col min="9999" max="9999" width="12.6640625" style="1422" customWidth="1"/>
    <col min="10000" max="10001" width="9.33203125" style="1422"/>
    <col min="10002" max="10002" width="11.83203125" style="1422" bestFit="1" customWidth="1"/>
    <col min="10003" max="10240" width="9.33203125" style="1422"/>
    <col min="10241" max="10241" width="4.83203125" style="1422" customWidth="1"/>
    <col min="10242" max="10242" width="30.1640625" style="1422" customWidth="1"/>
    <col min="10243" max="10244" width="9" style="1422" customWidth="1"/>
    <col min="10245" max="10245" width="9.5" style="1422" customWidth="1"/>
    <col min="10246" max="10246" width="8.83203125" style="1422" customWidth="1"/>
    <col min="10247" max="10247" width="10.1640625" style="1422" customWidth="1"/>
    <col min="10248" max="10248" width="8.83203125" style="1422" customWidth="1"/>
    <col min="10249" max="10249" width="8.1640625" style="1422" customWidth="1"/>
    <col min="10250" max="10254" width="9.5" style="1422" customWidth="1"/>
    <col min="10255" max="10255" width="12.6640625" style="1422" customWidth="1"/>
    <col min="10256" max="10257" width="9.33203125" style="1422"/>
    <col min="10258" max="10258" width="11.83203125" style="1422" bestFit="1" customWidth="1"/>
    <col min="10259" max="10496" width="9.33203125" style="1422"/>
    <col min="10497" max="10497" width="4.83203125" style="1422" customWidth="1"/>
    <col min="10498" max="10498" width="30.1640625" style="1422" customWidth="1"/>
    <col min="10499" max="10500" width="9" style="1422" customWidth="1"/>
    <col min="10501" max="10501" width="9.5" style="1422" customWidth="1"/>
    <col min="10502" max="10502" width="8.83203125" style="1422" customWidth="1"/>
    <col min="10503" max="10503" width="10.1640625" style="1422" customWidth="1"/>
    <col min="10504" max="10504" width="8.83203125" style="1422" customWidth="1"/>
    <col min="10505" max="10505" width="8.1640625" style="1422" customWidth="1"/>
    <col min="10506" max="10510" width="9.5" style="1422" customWidth="1"/>
    <col min="10511" max="10511" width="12.6640625" style="1422" customWidth="1"/>
    <col min="10512" max="10513" width="9.33203125" style="1422"/>
    <col min="10514" max="10514" width="11.83203125" style="1422" bestFit="1" customWidth="1"/>
    <col min="10515" max="10752" width="9.33203125" style="1422"/>
    <col min="10753" max="10753" width="4.83203125" style="1422" customWidth="1"/>
    <col min="10754" max="10754" width="30.1640625" style="1422" customWidth="1"/>
    <col min="10755" max="10756" width="9" style="1422" customWidth="1"/>
    <col min="10757" max="10757" width="9.5" style="1422" customWidth="1"/>
    <col min="10758" max="10758" width="8.83203125" style="1422" customWidth="1"/>
    <col min="10759" max="10759" width="10.1640625" style="1422" customWidth="1"/>
    <col min="10760" max="10760" width="8.83203125" style="1422" customWidth="1"/>
    <col min="10761" max="10761" width="8.1640625" style="1422" customWidth="1"/>
    <col min="10762" max="10766" width="9.5" style="1422" customWidth="1"/>
    <col min="10767" max="10767" width="12.6640625" style="1422" customWidth="1"/>
    <col min="10768" max="10769" width="9.33203125" style="1422"/>
    <col min="10770" max="10770" width="11.83203125" style="1422" bestFit="1" customWidth="1"/>
    <col min="10771" max="11008" width="9.33203125" style="1422"/>
    <col min="11009" max="11009" width="4.83203125" style="1422" customWidth="1"/>
    <col min="11010" max="11010" width="30.1640625" style="1422" customWidth="1"/>
    <col min="11011" max="11012" width="9" style="1422" customWidth="1"/>
    <col min="11013" max="11013" width="9.5" style="1422" customWidth="1"/>
    <col min="11014" max="11014" width="8.83203125" style="1422" customWidth="1"/>
    <col min="11015" max="11015" width="10.1640625" style="1422" customWidth="1"/>
    <col min="11016" max="11016" width="8.83203125" style="1422" customWidth="1"/>
    <col min="11017" max="11017" width="8.1640625" style="1422" customWidth="1"/>
    <col min="11018" max="11022" width="9.5" style="1422" customWidth="1"/>
    <col min="11023" max="11023" width="12.6640625" style="1422" customWidth="1"/>
    <col min="11024" max="11025" width="9.33203125" style="1422"/>
    <col min="11026" max="11026" width="11.83203125" style="1422" bestFit="1" customWidth="1"/>
    <col min="11027" max="11264" width="9.33203125" style="1422"/>
    <col min="11265" max="11265" width="4.83203125" style="1422" customWidth="1"/>
    <col min="11266" max="11266" width="30.1640625" style="1422" customWidth="1"/>
    <col min="11267" max="11268" width="9" style="1422" customWidth="1"/>
    <col min="11269" max="11269" width="9.5" style="1422" customWidth="1"/>
    <col min="11270" max="11270" width="8.83203125" style="1422" customWidth="1"/>
    <col min="11271" max="11271" width="10.1640625" style="1422" customWidth="1"/>
    <col min="11272" max="11272" width="8.83203125" style="1422" customWidth="1"/>
    <col min="11273" max="11273" width="8.1640625" style="1422" customWidth="1"/>
    <col min="11274" max="11278" width="9.5" style="1422" customWidth="1"/>
    <col min="11279" max="11279" width="12.6640625" style="1422" customWidth="1"/>
    <col min="11280" max="11281" width="9.33203125" style="1422"/>
    <col min="11282" max="11282" width="11.83203125" style="1422" bestFit="1" customWidth="1"/>
    <col min="11283" max="11520" width="9.33203125" style="1422"/>
    <col min="11521" max="11521" width="4.83203125" style="1422" customWidth="1"/>
    <col min="11522" max="11522" width="30.1640625" style="1422" customWidth="1"/>
    <col min="11523" max="11524" width="9" style="1422" customWidth="1"/>
    <col min="11525" max="11525" width="9.5" style="1422" customWidth="1"/>
    <col min="11526" max="11526" width="8.83203125" style="1422" customWidth="1"/>
    <col min="11527" max="11527" width="10.1640625" style="1422" customWidth="1"/>
    <col min="11528" max="11528" width="8.83203125" style="1422" customWidth="1"/>
    <col min="11529" max="11529" width="8.1640625" style="1422" customWidth="1"/>
    <col min="11530" max="11534" width="9.5" style="1422" customWidth="1"/>
    <col min="11535" max="11535" width="12.6640625" style="1422" customWidth="1"/>
    <col min="11536" max="11537" width="9.33203125" style="1422"/>
    <col min="11538" max="11538" width="11.83203125" style="1422" bestFit="1" customWidth="1"/>
    <col min="11539" max="11776" width="9.33203125" style="1422"/>
    <col min="11777" max="11777" width="4.83203125" style="1422" customWidth="1"/>
    <col min="11778" max="11778" width="30.1640625" style="1422" customWidth="1"/>
    <col min="11779" max="11780" width="9" style="1422" customWidth="1"/>
    <col min="11781" max="11781" width="9.5" style="1422" customWidth="1"/>
    <col min="11782" max="11782" width="8.83203125" style="1422" customWidth="1"/>
    <col min="11783" max="11783" width="10.1640625" style="1422" customWidth="1"/>
    <col min="11784" max="11784" width="8.83203125" style="1422" customWidth="1"/>
    <col min="11785" max="11785" width="8.1640625" style="1422" customWidth="1"/>
    <col min="11786" max="11790" width="9.5" style="1422" customWidth="1"/>
    <col min="11791" max="11791" width="12.6640625" style="1422" customWidth="1"/>
    <col min="11792" max="11793" width="9.33203125" style="1422"/>
    <col min="11794" max="11794" width="11.83203125" style="1422" bestFit="1" customWidth="1"/>
    <col min="11795" max="12032" width="9.33203125" style="1422"/>
    <col min="12033" max="12033" width="4.83203125" style="1422" customWidth="1"/>
    <col min="12034" max="12034" width="30.1640625" style="1422" customWidth="1"/>
    <col min="12035" max="12036" width="9" style="1422" customWidth="1"/>
    <col min="12037" max="12037" width="9.5" style="1422" customWidth="1"/>
    <col min="12038" max="12038" width="8.83203125" style="1422" customWidth="1"/>
    <col min="12039" max="12039" width="10.1640625" style="1422" customWidth="1"/>
    <col min="12040" max="12040" width="8.83203125" style="1422" customWidth="1"/>
    <col min="12041" max="12041" width="8.1640625" style="1422" customWidth="1"/>
    <col min="12042" max="12046" width="9.5" style="1422" customWidth="1"/>
    <col min="12047" max="12047" width="12.6640625" style="1422" customWidth="1"/>
    <col min="12048" max="12049" width="9.33203125" style="1422"/>
    <col min="12050" max="12050" width="11.83203125" style="1422" bestFit="1" customWidth="1"/>
    <col min="12051" max="12288" width="9.33203125" style="1422"/>
    <col min="12289" max="12289" width="4.83203125" style="1422" customWidth="1"/>
    <col min="12290" max="12290" width="30.1640625" style="1422" customWidth="1"/>
    <col min="12291" max="12292" width="9" style="1422" customWidth="1"/>
    <col min="12293" max="12293" width="9.5" style="1422" customWidth="1"/>
    <col min="12294" max="12294" width="8.83203125" style="1422" customWidth="1"/>
    <col min="12295" max="12295" width="10.1640625" style="1422" customWidth="1"/>
    <col min="12296" max="12296" width="8.83203125" style="1422" customWidth="1"/>
    <col min="12297" max="12297" width="8.1640625" style="1422" customWidth="1"/>
    <col min="12298" max="12302" width="9.5" style="1422" customWidth="1"/>
    <col min="12303" max="12303" width="12.6640625" style="1422" customWidth="1"/>
    <col min="12304" max="12305" width="9.33203125" style="1422"/>
    <col min="12306" max="12306" width="11.83203125" style="1422" bestFit="1" customWidth="1"/>
    <col min="12307" max="12544" width="9.33203125" style="1422"/>
    <col min="12545" max="12545" width="4.83203125" style="1422" customWidth="1"/>
    <col min="12546" max="12546" width="30.1640625" style="1422" customWidth="1"/>
    <col min="12547" max="12548" width="9" style="1422" customWidth="1"/>
    <col min="12549" max="12549" width="9.5" style="1422" customWidth="1"/>
    <col min="12550" max="12550" width="8.83203125" style="1422" customWidth="1"/>
    <col min="12551" max="12551" width="10.1640625" style="1422" customWidth="1"/>
    <col min="12552" max="12552" width="8.83203125" style="1422" customWidth="1"/>
    <col min="12553" max="12553" width="8.1640625" style="1422" customWidth="1"/>
    <col min="12554" max="12558" width="9.5" style="1422" customWidth="1"/>
    <col min="12559" max="12559" width="12.6640625" style="1422" customWidth="1"/>
    <col min="12560" max="12561" width="9.33203125" style="1422"/>
    <col min="12562" max="12562" width="11.83203125" style="1422" bestFit="1" customWidth="1"/>
    <col min="12563" max="12800" width="9.33203125" style="1422"/>
    <col min="12801" max="12801" width="4.83203125" style="1422" customWidth="1"/>
    <col min="12802" max="12802" width="30.1640625" style="1422" customWidth="1"/>
    <col min="12803" max="12804" width="9" style="1422" customWidth="1"/>
    <col min="12805" max="12805" width="9.5" style="1422" customWidth="1"/>
    <col min="12806" max="12806" width="8.83203125" style="1422" customWidth="1"/>
    <col min="12807" max="12807" width="10.1640625" style="1422" customWidth="1"/>
    <col min="12808" max="12808" width="8.83203125" style="1422" customWidth="1"/>
    <col min="12809" max="12809" width="8.1640625" style="1422" customWidth="1"/>
    <col min="12810" max="12814" width="9.5" style="1422" customWidth="1"/>
    <col min="12815" max="12815" width="12.6640625" style="1422" customWidth="1"/>
    <col min="12816" max="12817" width="9.33203125" style="1422"/>
    <col min="12818" max="12818" width="11.83203125" style="1422" bestFit="1" customWidth="1"/>
    <col min="12819" max="13056" width="9.33203125" style="1422"/>
    <col min="13057" max="13057" width="4.83203125" style="1422" customWidth="1"/>
    <col min="13058" max="13058" width="30.1640625" style="1422" customWidth="1"/>
    <col min="13059" max="13060" width="9" style="1422" customWidth="1"/>
    <col min="13061" max="13061" width="9.5" style="1422" customWidth="1"/>
    <col min="13062" max="13062" width="8.83203125" style="1422" customWidth="1"/>
    <col min="13063" max="13063" width="10.1640625" style="1422" customWidth="1"/>
    <col min="13064" max="13064" width="8.83203125" style="1422" customWidth="1"/>
    <col min="13065" max="13065" width="8.1640625" style="1422" customWidth="1"/>
    <col min="13066" max="13070" width="9.5" style="1422" customWidth="1"/>
    <col min="13071" max="13071" width="12.6640625" style="1422" customWidth="1"/>
    <col min="13072" max="13073" width="9.33203125" style="1422"/>
    <col min="13074" max="13074" width="11.83203125" style="1422" bestFit="1" customWidth="1"/>
    <col min="13075" max="13312" width="9.33203125" style="1422"/>
    <col min="13313" max="13313" width="4.83203125" style="1422" customWidth="1"/>
    <col min="13314" max="13314" width="30.1640625" style="1422" customWidth="1"/>
    <col min="13315" max="13316" width="9" style="1422" customWidth="1"/>
    <col min="13317" max="13317" width="9.5" style="1422" customWidth="1"/>
    <col min="13318" max="13318" width="8.83203125" style="1422" customWidth="1"/>
    <col min="13319" max="13319" width="10.1640625" style="1422" customWidth="1"/>
    <col min="13320" max="13320" width="8.83203125" style="1422" customWidth="1"/>
    <col min="13321" max="13321" width="8.1640625" style="1422" customWidth="1"/>
    <col min="13322" max="13326" width="9.5" style="1422" customWidth="1"/>
    <col min="13327" max="13327" width="12.6640625" style="1422" customWidth="1"/>
    <col min="13328" max="13329" width="9.33203125" style="1422"/>
    <col min="13330" max="13330" width="11.83203125" style="1422" bestFit="1" customWidth="1"/>
    <col min="13331" max="13568" width="9.33203125" style="1422"/>
    <col min="13569" max="13569" width="4.83203125" style="1422" customWidth="1"/>
    <col min="13570" max="13570" width="30.1640625" style="1422" customWidth="1"/>
    <col min="13571" max="13572" width="9" style="1422" customWidth="1"/>
    <col min="13573" max="13573" width="9.5" style="1422" customWidth="1"/>
    <col min="13574" max="13574" width="8.83203125" style="1422" customWidth="1"/>
    <col min="13575" max="13575" width="10.1640625" style="1422" customWidth="1"/>
    <col min="13576" max="13576" width="8.83203125" style="1422" customWidth="1"/>
    <col min="13577" max="13577" width="8.1640625" style="1422" customWidth="1"/>
    <col min="13578" max="13582" width="9.5" style="1422" customWidth="1"/>
    <col min="13583" max="13583" width="12.6640625" style="1422" customWidth="1"/>
    <col min="13584" max="13585" width="9.33203125" style="1422"/>
    <col min="13586" max="13586" width="11.83203125" style="1422" bestFit="1" customWidth="1"/>
    <col min="13587" max="13824" width="9.33203125" style="1422"/>
    <col min="13825" max="13825" width="4.83203125" style="1422" customWidth="1"/>
    <col min="13826" max="13826" width="30.1640625" style="1422" customWidth="1"/>
    <col min="13827" max="13828" width="9" style="1422" customWidth="1"/>
    <col min="13829" max="13829" width="9.5" style="1422" customWidth="1"/>
    <col min="13830" max="13830" width="8.83203125" style="1422" customWidth="1"/>
    <col min="13831" max="13831" width="10.1640625" style="1422" customWidth="1"/>
    <col min="13832" max="13832" width="8.83203125" style="1422" customWidth="1"/>
    <col min="13833" max="13833" width="8.1640625" style="1422" customWidth="1"/>
    <col min="13834" max="13838" width="9.5" style="1422" customWidth="1"/>
    <col min="13839" max="13839" width="12.6640625" style="1422" customWidth="1"/>
    <col min="13840" max="13841" width="9.33203125" style="1422"/>
    <col min="13842" max="13842" width="11.83203125" style="1422" bestFit="1" customWidth="1"/>
    <col min="13843" max="14080" width="9.33203125" style="1422"/>
    <col min="14081" max="14081" width="4.83203125" style="1422" customWidth="1"/>
    <col min="14082" max="14082" width="30.1640625" style="1422" customWidth="1"/>
    <col min="14083" max="14084" width="9" style="1422" customWidth="1"/>
    <col min="14085" max="14085" width="9.5" style="1422" customWidth="1"/>
    <col min="14086" max="14086" width="8.83203125" style="1422" customWidth="1"/>
    <col min="14087" max="14087" width="10.1640625" style="1422" customWidth="1"/>
    <col min="14088" max="14088" width="8.83203125" style="1422" customWidth="1"/>
    <col min="14089" max="14089" width="8.1640625" style="1422" customWidth="1"/>
    <col min="14090" max="14094" width="9.5" style="1422" customWidth="1"/>
    <col min="14095" max="14095" width="12.6640625" style="1422" customWidth="1"/>
    <col min="14096" max="14097" width="9.33203125" style="1422"/>
    <col min="14098" max="14098" width="11.83203125" style="1422" bestFit="1" customWidth="1"/>
    <col min="14099" max="14336" width="9.33203125" style="1422"/>
    <col min="14337" max="14337" width="4.83203125" style="1422" customWidth="1"/>
    <col min="14338" max="14338" width="30.1640625" style="1422" customWidth="1"/>
    <col min="14339" max="14340" width="9" style="1422" customWidth="1"/>
    <col min="14341" max="14341" width="9.5" style="1422" customWidth="1"/>
    <col min="14342" max="14342" width="8.83203125" style="1422" customWidth="1"/>
    <col min="14343" max="14343" width="10.1640625" style="1422" customWidth="1"/>
    <col min="14344" max="14344" width="8.83203125" style="1422" customWidth="1"/>
    <col min="14345" max="14345" width="8.1640625" style="1422" customWidth="1"/>
    <col min="14346" max="14350" width="9.5" style="1422" customWidth="1"/>
    <col min="14351" max="14351" width="12.6640625" style="1422" customWidth="1"/>
    <col min="14352" max="14353" width="9.33203125" style="1422"/>
    <col min="14354" max="14354" width="11.83203125" style="1422" bestFit="1" customWidth="1"/>
    <col min="14355" max="14592" width="9.33203125" style="1422"/>
    <col min="14593" max="14593" width="4.83203125" style="1422" customWidth="1"/>
    <col min="14594" max="14594" width="30.1640625" style="1422" customWidth="1"/>
    <col min="14595" max="14596" width="9" style="1422" customWidth="1"/>
    <col min="14597" max="14597" width="9.5" style="1422" customWidth="1"/>
    <col min="14598" max="14598" width="8.83203125" style="1422" customWidth="1"/>
    <col min="14599" max="14599" width="10.1640625" style="1422" customWidth="1"/>
    <col min="14600" max="14600" width="8.83203125" style="1422" customWidth="1"/>
    <col min="14601" max="14601" width="8.1640625" style="1422" customWidth="1"/>
    <col min="14602" max="14606" width="9.5" style="1422" customWidth="1"/>
    <col min="14607" max="14607" width="12.6640625" style="1422" customWidth="1"/>
    <col min="14608" max="14609" width="9.33203125" style="1422"/>
    <col min="14610" max="14610" width="11.83203125" style="1422" bestFit="1" customWidth="1"/>
    <col min="14611" max="14848" width="9.33203125" style="1422"/>
    <col min="14849" max="14849" width="4.83203125" style="1422" customWidth="1"/>
    <col min="14850" max="14850" width="30.1640625" style="1422" customWidth="1"/>
    <col min="14851" max="14852" width="9" style="1422" customWidth="1"/>
    <col min="14853" max="14853" width="9.5" style="1422" customWidth="1"/>
    <col min="14854" max="14854" width="8.83203125" style="1422" customWidth="1"/>
    <col min="14855" max="14855" width="10.1640625" style="1422" customWidth="1"/>
    <col min="14856" max="14856" width="8.83203125" style="1422" customWidth="1"/>
    <col min="14857" max="14857" width="8.1640625" style="1422" customWidth="1"/>
    <col min="14858" max="14862" width="9.5" style="1422" customWidth="1"/>
    <col min="14863" max="14863" width="12.6640625" style="1422" customWidth="1"/>
    <col min="14864" max="14865" width="9.33203125" style="1422"/>
    <col min="14866" max="14866" width="11.83203125" style="1422" bestFit="1" customWidth="1"/>
    <col min="14867" max="15104" width="9.33203125" style="1422"/>
    <col min="15105" max="15105" width="4.83203125" style="1422" customWidth="1"/>
    <col min="15106" max="15106" width="30.1640625" style="1422" customWidth="1"/>
    <col min="15107" max="15108" width="9" style="1422" customWidth="1"/>
    <col min="15109" max="15109" width="9.5" style="1422" customWidth="1"/>
    <col min="15110" max="15110" width="8.83203125" style="1422" customWidth="1"/>
    <col min="15111" max="15111" width="10.1640625" style="1422" customWidth="1"/>
    <col min="15112" max="15112" width="8.83203125" style="1422" customWidth="1"/>
    <col min="15113" max="15113" width="8.1640625" style="1422" customWidth="1"/>
    <col min="15114" max="15118" width="9.5" style="1422" customWidth="1"/>
    <col min="15119" max="15119" width="12.6640625" style="1422" customWidth="1"/>
    <col min="15120" max="15121" width="9.33203125" style="1422"/>
    <col min="15122" max="15122" width="11.83203125" style="1422" bestFit="1" customWidth="1"/>
    <col min="15123" max="15360" width="9.33203125" style="1422"/>
    <col min="15361" max="15361" width="4.83203125" style="1422" customWidth="1"/>
    <col min="15362" max="15362" width="30.1640625" style="1422" customWidth="1"/>
    <col min="15363" max="15364" width="9" style="1422" customWidth="1"/>
    <col min="15365" max="15365" width="9.5" style="1422" customWidth="1"/>
    <col min="15366" max="15366" width="8.83203125" style="1422" customWidth="1"/>
    <col min="15367" max="15367" width="10.1640625" style="1422" customWidth="1"/>
    <col min="15368" max="15368" width="8.83203125" style="1422" customWidth="1"/>
    <col min="15369" max="15369" width="8.1640625" style="1422" customWidth="1"/>
    <col min="15370" max="15374" width="9.5" style="1422" customWidth="1"/>
    <col min="15375" max="15375" width="12.6640625" style="1422" customWidth="1"/>
    <col min="15376" max="15377" width="9.33203125" style="1422"/>
    <col min="15378" max="15378" width="11.83203125" style="1422" bestFit="1" customWidth="1"/>
    <col min="15379" max="15616" width="9.33203125" style="1422"/>
    <col min="15617" max="15617" width="4.83203125" style="1422" customWidth="1"/>
    <col min="15618" max="15618" width="30.1640625" style="1422" customWidth="1"/>
    <col min="15619" max="15620" width="9" style="1422" customWidth="1"/>
    <col min="15621" max="15621" width="9.5" style="1422" customWidth="1"/>
    <col min="15622" max="15622" width="8.83203125" style="1422" customWidth="1"/>
    <col min="15623" max="15623" width="10.1640625" style="1422" customWidth="1"/>
    <col min="15624" max="15624" width="8.83203125" style="1422" customWidth="1"/>
    <col min="15625" max="15625" width="8.1640625" style="1422" customWidth="1"/>
    <col min="15626" max="15630" width="9.5" style="1422" customWidth="1"/>
    <col min="15631" max="15631" width="12.6640625" style="1422" customWidth="1"/>
    <col min="15632" max="15633" width="9.33203125" style="1422"/>
    <col min="15634" max="15634" width="11.83203125" style="1422" bestFit="1" customWidth="1"/>
    <col min="15635" max="15872" width="9.33203125" style="1422"/>
    <col min="15873" max="15873" width="4.83203125" style="1422" customWidth="1"/>
    <col min="15874" max="15874" width="30.1640625" style="1422" customWidth="1"/>
    <col min="15875" max="15876" width="9" style="1422" customWidth="1"/>
    <col min="15877" max="15877" width="9.5" style="1422" customWidth="1"/>
    <col min="15878" max="15878" width="8.83203125" style="1422" customWidth="1"/>
    <col min="15879" max="15879" width="10.1640625" style="1422" customWidth="1"/>
    <col min="15880" max="15880" width="8.83203125" style="1422" customWidth="1"/>
    <col min="15881" max="15881" width="8.1640625" style="1422" customWidth="1"/>
    <col min="15882" max="15886" width="9.5" style="1422" customWidth="1"/>
    <col min="15887" max="15887" width="12.6640625" style="1422" customWidth="1"/>
    <col min="15888" max="15889" width="9.33203125" style="1422"/>
    <col min="15890" max="15890" width="11.83203125" style="1422" bestFit="1" customWidth="1"/>
    <col min="15891" max="16128" width="9.33203125" style="1422"/>
    <col min="16129" max="16129" width="4.83203125" style="1422" customWidth="1"/>
    <col min="16130" max="16130" width="30.1640625" style="1422" customWidth="1"/>
    <col min="16131" max="16132" width="9" style="1422" customWidth="1"/>
    <col min="16133" max="16133" width="9.5" style="1422" customWidth="1"/>
    <col min="16134" max="16134" width="8.83203125" style="1422" customWidth="1"/>
    <col min="16135" max="16135" width="10.1640625" style="1422" customWidth="1"/>
    <col min="16136" max="16136" width="8.83203125" style="1422" customWidth="1"/>
    <col min="16137" max="16137" width="8.1640625" style="1422" customWidth="1"/>
    <col min="16138" max="16142" width="9.5" style="1422" customWidth="1"/>
    <col min="16143" max="16143" width="12.6640625" style="1422" customWidth="1"/>
    <col min="16144" max="16145" width="9.33203125" style="1422"/>
    <col min="16146" max="16146" width="11.83203125" style="1422" bestFit="1" customWidth="1"/>
    <col min="16147" max="16384" width="9.33203125" style="1422"/>
  </cols>
  <sheetData>
    <row r="1" spans="1:15" ht="16.5" thickBot="1">
      <c r="O1" s="1423" t="s">
        <v>194</v>
      </c>
    </row>
    <row r="2" spans="1:15" s="1421" customFormat="1" ht="26.1" customHeight="1" thickBot="1">
      <c r="A2" s="1424" t="s">
        <v>2064</v>
      </c>
      <c r="B2" s="1425" t="s">
        <v>198</v>
      </c>
      <c r="C2" s="1425" t="s">
        <v>2149</v>
      </c>
      <c r="D2" s="1425" t="s">
        <v>2150</v>
      </c>
      <c r="E2" s="1425" t="s">
        <v>2151</v>
      </c>
      <c r="F2" s="1425" t="s">
        <v>2152</v>
      </c>
      <c r="G2" s="1425" t="s">
        <v>2153</v>
      </c>
      <c r="H2" s="1425" t="s">
        <v>2154</v>
      </c>
      <c r="I2" s="1425" t="s">
        <v>2155</v>
      </c>
      <c r="J2" s="1425" t="s">
        <v>2156</v>
      </c>
      <c r="K2" s="1425" t="s">
        <v>2157</v>
      </c>
      <c r="L2" s="1425" t="s">
        <v>2158</v>
      </c>
      <c r="M2" s="1425" t="s">
        <v>2159</v>
      </c>
      <c r="N2" s="1425" t="s">
        <v>2160</v>
      </c>
      <c r="O2" s="1426" t="s">
        <v>1181</v>
      </c>
    </row>
    <row r="3" spans="1:15" s="1428" customFormat="1" ht="15" customHeight="1" thickBot="1">
      <c r="A3" s="1427" t="s">
        <v>4</v>
      </c>
      <c r="B3" s="2001" t="s">
        <v>196</v>
      </c>
      <c r="C3" s="2001"/>
      <c r="D3" s="2001"/>
      <c r="E3" s="2001"/>
      <c r="F3" s="2001"/>
      <c r="G3" s="2001"/>
      <c r="H3" s="2001"/>
      <c r="I3" s="2001"/>
      <c r="J3" s="2001"/>
      <c r="K3" s="2001"/>
      <c r="L3" s="2001"/>
      <c r="M3" s="2001"/>
      <c r="N3" s="2001"/>
      <c r="O3" s="2001"/>
    </row>
    <row r="4" spans="1:15" s="1428" customFormat="1" ht="15" customHeight="1">
      <c r="A4" s="1429" t="s">
        <v>5</v>
      </c>
      <c r="B4" s="1430" t="s">
        <v>200</v>
      </c>
      <c r="C4" s="1431">
        <v>107427</v>
      </c>
      <c r="D4" s="1431">
        <v>77429</v>
      </c>
      <c r="E4" s="1431">
        <v>265252</v>
      </c>
      <c r="F4" s="1431">
        <v>150039</v>
      </c>
      <c r="G4" s="1431">
        <v>150036</v>
      </c>
      <c r="H4" s="1431">
        <v>150037</v>
      </c>
      <c r="I4" s="1431">
        <v>66376</v>
      </c>
      <c r="J4" s="1431">
        <v>66373</v>
      </c>
      <c r="K4" s="1431">
        <v>276370</v>
      </c>
      <c r="L4" s="1431">
        <v>184033</v>
      </c>
      <c r="M4" s="1431">
        <v>124040</v>
      </c>
      <c r="N4" s="1431">
        <v>64035</v>
      </c>
      <c r="O4" s="1432">
        <f>SUM(C4:N4)</f>
        <v>1681447</v>
      </c>
    </row>
    <row r="5" spans="1:15" s="1437" customFormat="1" ht="14.1" customHeight="1">
      <c r="A5" s="1433" t="s">
        <v>19</v>
      </c>
      <c r="B5" s="1434" t="s">
        <v>2161</v>
      </c>
      <c r="C5" s="1435">
        <v>29282</v>
      </c>
      <c r="D5" s="1435">
        <v>29282</v>
      </c>
      <c r="E5" s="1435">
        <v>29282</v>
      </c>
      <c r="F5" s="1435">
        <v>29282</v>
      </c>
      <c r="G5" s="1435">
        <v>29282</v>
      </c>
      <c r="H5" s="1435">
        <v>49077</v>
      </c>
      <c r="I5" s="1435">
        <v>46112</v>
      </c>
      <c r="J5" s="1435">
        <v>46113</v>
      </c>
      <c r="K5" s="1435">
        <v>26337</v>
      </c>
      <c r="L5" s="1435">
        <v>31908</v>
      </c>
      <c r="M5" s="1435">
        <v>31908</v>
      </c>
      <c r="N5" s="1435">
        <v>31908</v>
      </c>
      <c r="O5" s="1436">
        <f t="shared" ref="O5:O29" si="0">SUM(C5:N5)</f>
        <v>409773</v>
      </c>
    </row>
    <row r="6" spans="1:15" s="1437" customFormat="1" ht="20.25" customHeight="1">
      <c r="A6" s="1433" t="s">
        <v>149</v>
      </c>
      <c r="B6" s="1722" t="s">
        <v>2162</v>
      </c>
      <c r="C6" s="1723">
        <v>51887</v>
      </c>
      <c r="D6" s="1723">
        <v>51887</v>
      </c>
      <c r="E6" s="1723">
        <v>51887</v>
      </c>
      <c r="F6" s="1723">
        <v>51886</v>
      </c>
      <c r="G6" s="1723">
        <v>51886</v>
      </c>
      <c r="H6" s="1723">
        <v>51886</v>
      </c>
      <c r="I6" s="1723">
        <v>51845</v>
      </c>
      <c r="J6" s="1723">
        <v>51845</v>
      </c>
      <c r="K6" s="1723">
        <v>51846</v>
      </c>
      <c r="L6" s="1723">
        <v>56634</v>
      </c>
      <c r="M6" s="1723">
        <v>56633</v>
      </c>
      <c r="N6" s="1723">
        <v>56633</v>
      </c>
      <c r="O6" s="1438">
        <f t="shared" si="0"/>
        <v>636755</v>
      </c>
    </row>
    <row r="7" spans="1:15" s="1437" customFormat="1" ht="14.1" customHeight="1">
      <c r="A7" s="1433" t="s">
        <v>38</v>
      </c>
      <c r="B7" s="1434" t="s">
        <v>2163</v>
      </c>
      <c r="C7" s="1435">
        <v>39871</v>
      </c>
      <c r="D7" s="1435">
        <v>39871</v>
      </c>
      <c r="E7" s="1435">
        <v>39871</v>
      </c>
      <c r="F7" s="1435">
        <v>39871</v>
      </c>
      <c r="G7" s="1435">
        <v>39869</v>
      </c>
      <c r="H7" s="1435">
        <v>39869</v>
      </c>
      <c r="I7" s="1435">
        <v>39869</v>
      </c>
      <c r="J7" s="1435">
        <v>39869</v>
      </c>
      <c r="K7" s="1435">
        <v>39869</v>
      </c>
      <c r="L7" s="1435">
        <v>43562</v>
      </c>
      <c r="M7" s="1435">
        <v>43562</v>
      </c>
      <c r="N7" s="1435">
        <v>43562</v>
      </c>
      <c r="O7" s="1436">
        <f>SUM(C7:N7)</f>
        <v>489515</v>
      </c>
    </row>
    <row r="8" spans="1:15" s="1437" customFormat="1" ht="14.1" customHeight="1">
      <c r="A8" s="1433" t="s">
        <v>48</v>
      </c>
      <c r="B8" s="1434" t="s">
        <v>2164</v>
      </c>
      <c r="C8" s="1435">
        <v>763</v>
      </c>
      <c r="D8" s="1435">
        <v>763</v>
      </c>
      <c r="E8" s="1435">
        <v>763</v>
      </c>
      <c r="F8" s="1435">
        <v>763</v>
      </c>
      <c r="G8" s="1435">
        <v>763</v>
      </c>
      <c r="H8" s="1435">
        <v>763</v>
      </c>
      <c r="I8" s="1435">
        <v>762</v>
      </c>
      <c r="J8" s="1435">
        <v>762</v>
      </c>
      <c r="K8" s="1435">
        <v>762</v>
      </c>
      <c r="L8" s="1435">
        <v>762</v>
      </c>
      <c r="M8" s="1435">
        <v>762</v>
      </c>
      <c r="N8" s="1435">
        <v>762</v>
      </c>
      <c r="O8" s="1436">
        <f t="shared" si="0"/>
        <v>9150</v>
      </c>
    </row>
    <row r="9" spans="1:15" s="1437" customFormat="1" ht="14.1" customHeight="1">
      <c r="A9" s="1433" t="s">
        <v>178</v>
      </c>
      <c r="B9" s="1434" t="s">
        <v>2165</v>
      </c>
      <c r="C9" s="1435">
        <v>374</v>
      </c>
      <c r="D9" s="1435">
        <v>375</v>
      </c>
      <c r="E9" s="1435">
        <v>375</v>
      </c>
      <c r="F9" s="1435">
        <v>375</v>
      </c>
      <c r="G9" s="1435">
        <v>375</v>
      </c>
      <c r="H9" s="1435">
        <v>375</v>
      </c>
      <c r="I9" s="1435">
        <v>128555</v>
      </c>
      <c r="J9" s="1435">
        <v>128555</v>
      </c>
      <c r="K9" s="1435">
        <v>128556</v>
      </c>
      <c r="L9" s="1435">
        <v>20337</v>
      </c>
      <c r="M9" s="1435">
        <v>20337</v>
      </c>
      <c r="N9" s="1435">
        <v>20337</v>
      </c>
      <c r="O9" s="1436">
        <f t="shared" si="0"/>
        <v>448926</v>
      </c>
    </row>
    <row r="10" spans="1:15" s="1437" customFormat="1" ht="14.1" customHeight="1">
      <c r="A10" s="1433" t="s">
        <v>74</v>
      </c>
      <c r="B10" s="1434" t="s">
        <v>2166</v>
      </c>
      <c r="C10" s="1435">
        <v>41</v>
      </c>
      <c r="D10" s="1435">
        <v>42</v>
      </c>
      <c r="E10" s="1435">
        <v>42</v>
      </c>
      <c r="F10" s="1435">
        <v>42</v>
      </c>
      <c r="G10" s="1435">
        <v>42</v>
      </c>
      <c r="H10" s="1435">
        <v>42</v>
      </c>
      <c r="I10" s="1435">
        <v>42</v>
      </c>
      <c r="J10" s="1435">
        <v>42</v>
      </c>
      <c r="K10" s="1435">
        <v>42</v>
      </c>
      <c r="L10" s="1435">
        <v>44</v>
      </c>
      <c r="M10" s="1435">
        <v>44</v>
      </c>
      <c r="N10" s="1435">
        <v>44</v>
      </c>
      <c r="O10" s="1436">
        <f t="shared" si="0"/>
        <v>509</v>
      </c>
    </row>
    <row r="11" spans="1:15" s="1437" customFormat="1" ht="20.25" customHeight="1">
      <c r="A11" s="1433" t="s">
        <v>205</v>
      </c>
      <c r="B11" s="1439" t="s">
        <v>2167</v>
      </c>
      <c r="C11" s="1435"/>
      <c r="D11" s="1435"/>
      <c r="E11" s="1435"/>
      <c r="F11" s="1435"/>
      <c r="G11" s="1435">
        <v>649866</v>
      </c>
      <c r="H11" s="1435"/>
      <c r="I11" s="1435"/>
      <c r="J11" s="1435"/>
      <c r="K11" s="1435"/>
      <c r="L11" s="1435"/>
      <c r="M11" s="1435"/>
      <c r="N11" s="1435"/>
      <c r="O11" s="1436">
        <f t="shared" si="0"/>
        <v>649866</v>
      </c>
    </row>
    <row r="12" spans="1:15" s="1437" customFormat="1" ht="20.25" customHeight="1">
      <c r="A12" s="1433" t="s">
        <v>79</v>
      </c>
      <c r="B12" s="1439" t="s">
        <v>2168</v>
      </c>
      <c r="C12" s="1440"/>
      <c r="D12" s="1435"/>
      <c r="E12" s="1435"/>
      <c r="F12" s="1435"/>
      <c r="G12" s="1435"/>
      <c r="H12" s="1435">
        <v>7091</v>
      </c>
      <c r="I12" s="1435"/>
      <c r="J12" s="1435"/>
      <c r="K12" s="1435">
        <v>269</v>
      </c>
      <c r="L12" s="1435"/>
      <c r="M12" s="1435">
        <v>7172</v>
      </c>
      <c r="N12" s="1435">
        <v>20016</v>
      </c>
      <c r="O12" s="1435">
        <f>SUM(C12:N12)</f>
        <v>34548</v>
      </c>
    </row>
    <row r="13" spans="1:15" s="1437" customFormat="1" ht="14.1" customHeight="1" thickBot="1">
      <c r="A13" s="1433" t="s">
        <v>80</v>
      </c>
      <c r="B13" s="1434" t="s">
        <v>2169</v>
      </c>
      <c r="C13" s="1435"/>
      <c r="D13" s="1435"/>
      <c r="E13" s="1435"/>
      <c r="F13" s="1435"/>
      <c r="G13" s="1435"/>
      <c r="H13" s="1435"/>
      <c r="I13" s="1435">
        <v>198462</v>
      </c>
      <c r="J13" s="1435"/>
      <c r="K13" s="1440"/>
      <c r="L13" s="1435"/>
      <c r="M13" s="1435"/>
      <c r="N13" s="1435"/>
      <c r="O13" s="1436">
        <f t="shared" si="0"/>
        <v>198462</v>
      </c>
    </row>
    <row r="14" spans="1:15" s="1428" customFormat="1" ht="15.95" customHeight="1" thickBot="1">
      <c r="A14" s="1427" t="s">
        <v>85</v>
      </c>
      <c r="B14" s="1441" t="s">
        <v>873</v>
      </c>
      <c r="C14" s="1442">
        <f>SUM(C4:C13)</f>
        <v>229645</v>
      </c>
      <c r="D14" s="1442">
        <f t="shared" ref="D14:N14" si="1">SUM(D4:D13)</f>
        <v>199649</v>
      </c>
      <c r="E14" s="1442">
        <f t="shared" si="1"/>
        <v>387472</v>
      </c>
      <c r="F14" s="1442">
        <f t="shared" si="1"/>
        <v>272258</v>
      </c>
      <c r="G14" s="1442">
        <f t="shared" si="1"/>
        <v>922119</v>
      </c>
      <c r="H14" s="1442">
        <f t="shared" si="1"/>
        <v>299140</v>
      </c>
      <c r="I14" s="1442">
        <f t="shared" si="1"/>
        <v>532023</v>
      </c>
      <c r="J14" s="1442">
        <f t="shared" si="1"/>
        <v>333559</v>
      </c>
      <c r="K14" s="1442">
        <f t="shared" si="1"/>
        <v>524051</v>
      </c>
      <c r="L14" s="1442">
        <f t="shared" si="1"/>
        <v>337280</v>
      </c>
      <c r="M14" s="1442">
        <f t="shared" si="1"/>
        <v>284458</v>
      </c>
      <c r="N14" s="1442">
        <f t="shared" si="1"/>
        <v>237297</v>
      </c>
      <c r="O14" s="1443">
        <f>SUM(C14:N14)</f>
        <v>4558951</v>
      </c>
    </row>
    <row r="15" spans="1:15" s="1428" customFormat="1" ht="15" customHeight="1" thickBot="1">
      <c r="A15" s="1427" t="s">
        <v>98</v>
      </c>
      <c r="B15" s="2001" t="s">
        <v>197</v>
      </c>
      <c r="C15" s="2001"/>
      <c r="D15" s="2001"/>
      <c r="E15" s="2001"/>
      <c r="F15" s="2001"/>
      <c r="G15" s="2001"/>
      <c r="H15" s="2001"/>
      <c r="I15" s="2001"/>
      <c r="J15" s="2001"/>
      <c r="K15" s="2001"/>
      <c r="L15" s="2001"/>
      <c r="M15" s="2001"/>
      <c r="N15" s="2001"/>
      <c r="O15" s="2001"/>
    </row>
    <row r="16" spans="1:15" s="1437" customFormat="1" ht="14.1" customHeight="1" thickBot="1">
      <c r="A16" s="1427" t="s">
        <v>99</v>
      </c>
      <c r="B16" s="1724" t="s">
        <v>199</v>
      </c>
      <c r="C16" s="1723">
        <v>88991</v>
      </c>
      <c r="D16" s="1723">
        <v>88991</v>
      </c>
      <c r="E16" s="1723">
        <v>88991</v>
      </c>
      <c r="F16" s="1723">
        <v>88991</v>
      </c>
      <c r="G16" s="1723">
        <v>88990</v>
      </c>
      <c r="H16" s="1723">
        <v>88991</v>
      </c>
      <c r="I16" s="1723">
        <v>92818</v>
      </c>
      <c r="J16" s="1723">
        <v>92818</v>
      </c>
      <c r="K16" s="1723">
        <v>92818</v>
      </c>
      <c r="L16" s="1723">
        <v>71196</v>
      </c>
      <c r="M16" s="1723">
        <v>71195</v>
      </c>
      <c r="N16" s="1723">
        <v>71196</v>
      </c>
      <c r="O16" s="1438">
        <f t="shared" si="0"/>
        <v>1025986</v>
      </c>
    </row>
    <row r="17" spans="1:18" s="1437" customFormat="1" ht="24" customHeight="1" thickBot="1">
      <c r="A17" s="1427" t="s">
        <v>210</v>
      </c>
      <c r="B17" s="1439" t="s">
        <v>105</v>
      </c>
      <c r="C17" s="1435">
        <v>24068</v>
      </c>
      <c r="D17" s="1435">
        <v>24068</v>
      </c>
      <c r="E17" s="1435">
        <v>24068</v>
      </c>
      <c r="F17" s="1435">
        <v>24068</v>
      </c>
      <c r="G17" s="1435">
        <v>24068</v>
      </c>
      <c r="H17" s="1435">
        <v>24068</v>
      </c>
      <c r="I17" s="1435">
        <v>19994</v>
      </c>
      <c r="J17" s="1435">
        <v>19994</v>
      </c>
      <c r="K17" s="1435">
        <v>19994</v>
      </c>
      <c r="L17" s="1435">
        <v>15889</v>
      </c>
      <c r="M17" s="1435">
        <v>15889</v>
      </c>
      <c r="N17" s="1435">
        <v>15889</v>
      </c>
      <c r="O17" s="1436">
        <f t="shared" si="0"/>
        <v>252057</v>
      </c>
    </row>
    <row r="18" spans="1:18" s="1437" customFormat="1" ht="14.1" customHeight="1" thickBot="1">
      <c r="A18" s="1427" t="s">
        <v>212</v>
      </c>
      <c r="B18" s="1434" t="s">
        <v>201</v>
      </c>
      <c r="C18" s="1435">
        <v>153094</v>
      </c>
      <c r="D18" s="1435">
        <v>153094</v>
      </c>
      <c r="E18" s="1435">
        <v>153093</v>
      </c>
      <c r="F18" s="1435">
        <v>153093</v>
      </c>
      <c r="G18" s="1435">
        <v>153093</v>
      </c>
      <c r="H18" s="1435">
        <v>153093</v>
      </c>
      <c r="I18" s="1435">
        <v>131090</v>
      </c>
      <c r="J18" s="1435">
        <v>131090</v>
      </c>
      <c r="K18" s="1435">
        <v>131090</v>
      </c>
      <c r="L18" s="1435">
        <v>96848</v>
      </c>
      <c r="M18" s="1435">
        <v>96848</v>
      </c>
      <c r="N18" s="1435">
        <v>96848</v>
      </c>
      <c r="O18" s="1436">
        <f t="shared" si="0"/>
        <v>1602374</v>
      </c>
    </row>
    <row r="19" spans="1:18" s="1437" customFormat="1" ht="14.1" customHeight="1" thickBot="1">
      <c r="A19" s="1427" t="s">
        <v>214</v>
      </c>
      <c r="B19" s="1434" t="s">
        <v>2170</v>
      </c>
      <c r="C19" s="1435">
        <v>8836</v>
      </c>
      <c r="D19" s="1435">
        <v>8836</v>
      </c>
      <c r="E19" s="1435">
        <v>8836</v>
      </c>
      <c r="F19" s="1435">
        <v>8835</v>
      </c>
      <c r="G19" s="1435">
        <v>8836</v>
      </c>
      <c r="H19" s="1435">
        <v>8836</v>
      </c>
      <c r="I19" s="1435">
        <v>8930</v>
      </c>
      <c r="J19" s="1435">
        <v>8930</v>
      </c>
      <c r="K19" s="1435">
        <v>8930</v>
      </c>
      <c r="L19" s="1435">
        <v>5594</v>
      </c>
      <c r="M19" s="1435">
        <v>5593</v>
      </c>
      <c r="N19" s="1435">
        <v>5593</v>
      </c>
      <c r="O19" s="1436">
        <f t="shared" si="0"/>
        <v>96585</v>
      </c>
    </row>
    <row r="20" spans="1:18" s="1437" customFormat="1" ht="14.1" customHeight="1" thickBot="1">
      <c r="A20" s="1427" t="s">
        <v>215</v>
      </c>
      <c r="B20" s="1434" t="s">
        <v>2171</v>
      </c>
      <c r="C20" s="1435"/>
      <c r="D20" s="1435"/>
      <c r="E20" s="1435"/>
      <c r="F20" s="1435"/>
      <c r="G20" s="1435"/>
      <c r="H20" s="1435"/>
      <c r="I20" s="1435"/>
      <c r="J20" s="1435"/>
      <c r="K20" s="1435"/>
      <c r="L20" s="1435"/>
      <c r="M20" s="1435"/>
      <c r="N20" s="1435"/>
      <c r="O20" s="1436">
        <f t="shared" si="0"/>
        <v>0</v>
      </c>
    </row>
    <row r="21" spans="1:18" s="1437" customFormat="1" ht="14.1" customHeight="1" thickBot="1">
      <c r="A21" s="1427" t="s">
        <v>217</v>
      </c>
      <c r="B21" s="1434" t="s">
        <v>2172</v>
      </c>
      <c r="C21" s="1435">
        <v>24196</v>
      </c>
      <c r="D21" s="1435">
        <v>24196</v>
      </c>
      <c r="E21" s="1435">
        <v>24196</v>
      </c>
      <c r="F21" s="1435">
        <v>24196</v>
      </c>
      <c r="G21" s="1435">
        <v>24196</v>
      </c>
      <c r="H21" s="1435">
        <v>24196</v>
      </c>
      <c r="I21" s="1435">
        <v>24195</v>
      </c>
      <c r="J21" s="1435">
        <v>24195</v>
      </c>
      <c r="K21" s="1435">
        <v>24195</v>
      </c>
      <c r="L21" s="1435">
        <v>24195</v>
      </c>
      <c r="M21" s="1435">
        <v>24195</v>
      </c>
      <c r="N21" s="1435">
        <v>24195</v>
      </c>
      <c r="O21" s="1436">
        <f t="shared" si="0"/>
        <v>290346</v>
      </c>
    </row>
    <row r="22" spans="1:18" s="1437" customFormat="1" ht="21" customHeight="1" thickBot="1">
      <c r="A22" s="1427" t="s">
        <v>219</v>
      </c>
      <c r="B22" s="1439" t="s">
        <v>2173</v>
      </c>
      <c r="C22" s="1435">
        <v>407</v>
      </c>
      <c r="D22" s="1435">
        <v>407</v>
      </c>
      <c r="E22" s="1435">
        <v>407</v>
      </c>
      <c r="F22" s="1435">
        <v>407</v>
      </c>
      <c r="G22" s="1435">
        <v>407</v>
      </c>
      <c r="H22" s="1435">
        <v>407</v>
      </c>
      <c r="I22" s="1435">
        <v>407</v>
      </c>
      <c r="J22" s="1435">
        <v>407</v>
      </c>
      <c r="K22" s="1435">
        <v>407</v>
      </c>
      <c r="L22" s="1435">
        <v>407</v>
      </c>
      <c r="M22" s="1435">
        <v>408</v>
      </c>
      <c r="N22" s="1435">
        <v>408</v>
      </c>
      <c r="O22" s="1436">
        <f t="shared" si="0"/>
        <v>4886</v>
      </c>
    </row>
    <row r="23" spans="1:18" s="1437" customFormat="1" ht="21" hidden="1" customHeight="1" thickBot="1">
      <c r="A23" s="1427"/>
      <c r="B23" s="1439"/>
      <c r="C23" s="1435"/>
      <c r="D23" s="1435"/>
      <c r="E23" s="1435"/>
      <c r="F23" s="1435"/>
      <c r="G23" s="1435"/>
      <c r="H23" s="1435"/>
      <c r="I23" s="1435"/>
      <c r="J23" s="1435"/>
      <c r="K23" s="1435"/>
      <c r="L23" s="1435"/>
      <c r="M23" s="1435"/>
      <c r="N23" s="1435"/>
      <c r="O23" s="1436"/>
    </row>
    <row r="24" spans="1:18" s="1437" customFormat="1" ht="21" customHeight="1" thickBot="1">
      <c r="A24" s="1427" t="s">
        <v>221</v>
      </c>
      <c r="B24" s="1439" t="s">
        <v>2174</v>
      </c>
      <c r="C24" s="1435"/>
      <c r="D24" s="1435"/>
      <c r="E24" s="1435"/>
      <c r="F24" s="1435"/>
      <c r="G24" s="1435"/>
      <c r="H24" s="1435"/>
      <c r="I24" s="1435"/>
      <c r="J24" s="1435"/>
      <c r="K24" s="1435"/>
      <c r="L24" s="1435"/>
      <c r="M24" s="1435"/>
      <c r="N24" s="1435"/>
      <c r="O24" s="1436">
        <f t="shared" si="0"/>
        <v>0</v>
      </c>
    </row>
    <row r="25" spans="1:18" s="1437" customFormat="1" ht="14.1" customHeight="1" thickBot="1">
      <c r="A25" s="1427" t="s">
        <v>222</v>
      </c>
      <c r="B25" s="1434" t="s">
        <v>202</v>
      </c>
      <c r="C25" s="1435">
        <v>27764</v>
      </c>
      <c r="D25" s="1435">
        <v>27764</v>
      </c>
      <c r="E25" s="1435">
        <v>27764</v>
      </c>
      <c r="F25" s="1435">
        <v>27763</v>
      </c>
      <c r="G25" s="1435">
        <v>27763</v>
      </c>
      <c r="H25" s="1435">
        <v>27763</v>
      </c>
      <c r="I25" s="1435">
        <v>27763</v>
      </c>
      <c r="J25" s="1435">
        <v>27763</v>
      </c>
      <c r="K25" s="1435">
        <v>27763</v>
      </c>
      <c r="L25" s="1435">
        <v>27763</v>
      </c>
      <c r="M25" s="1435">
        <v>27763</v>
      </c>
      <c r="N25" s="1435">
        <v>27763</v>
      </c>
      <c r="O25" s="1436">
        <f t="shared" si="0"/>
        <v>333159</v>
      </c>
    </row>
    <row r="26" spans="1:18" s="1437" customFormat="1" ht="14.1" customHeight="1" thickBot="1">
      <c r="A26" s="1427" t="s">
        <v>224</v>
      </c>
      <c r="B26" s="1434" t="s">
        <v>2175</v>
      </c>
      <c r="C26" s="1435">
        <v>2666</v>
      </c>
      <c r="D26" s="1435">
        <v>2667</v>
      </c>
      <c r="E26" s="1435">
        <v>2667</v>
      </c>
      <c r="F26" s="1435">
        <v>2667</v>
      </c>
      <c r="G26" s="1435">
        <v>2667</v>
      </c>
      <c r="H26" s="1435">
        <v>2667</v>
      </c>
      <c r="I26" s="1435">
        <v>2667</v>
      </c>
      <c r="J26" s="1435">
        <v>2667</v>
      </c>
      <c r="K26" s="1435">
        <v>2667</v>
      </c>
      <c r="L26" s="1435">
        <v>1715</v>
      </c>
      <c r="M26" s="1435">
        <v>1715</v>
      </c>
      <c r="N26" s="1435">
        <v>1714</v>
      </c>
      <c r="O26" s="1436">
        <f t="shared" si="0"/>
        <v>29146</v>
      </c>
    </row>
    <row r="27" spans="1:18" s="1437" customFormat="1" ht="13.5" customHeight="1" thickBot="1">
      <c r="A27" s="1427" t="s">
        <v>225</v>
      </c>
      <c r="B27" s="1434" t="s">
        <v>2176</v>
      </c>
      <c r="C27" s="1435">
        <v>101549</v>
      </c>
      <c r="D27" s="1435">
        <v>101549</v>
      </c>
      <c r="E27" s="1435">
        <v>101549</v>
      </c>
      <c r="F27" s="1435">
        <v>101549</v>
      </c>
      <c r="G27" s="1435">
        <v>101550</v>
      </c>
      <c r="H27" s="1435">
        <v>101550</v>
      </c>
      <c r="I27" s="1435">
        <v>36249</v>
      </c>
      <c r="J27" s="1435">
        <v>36249</v>
      </c>
      <c r="K27" s="1435">
        <v>36249</v>
      </c>
      <c r="L27" s="1435">
        <v>44506</v>
      </c>
      <c r="M27" s="1435">
        <v>44506</v>
      </c>
      <c r="N27" s="1435">
        <v>44506</v>
      </c>
      <c r="O27" s="1436">
        <f t="shared" si="0"/>
        <v>851561</v>
      </c>
    </row>
    <row r="28" spans="1:18" s="1437" customFormat="1" ht="14.1" customHeight="1" thickBot="1">
      <c r="A28" s="1427" t="s">
        <v>227</v>
      </c>
      <c r="B28" s="1434" t="s">
        <v>2177</v>
      </c>
      <c r="C28" s="1435">
        <v>5404</v>
      </c>
      <c r="D28" s="1435">
        <v>5404</v>
      </c>
      <c r="E28" s="1435">
        <v>5404</v>
      </c>
      <c r="F28" s="1435">
        <v>5404</v>
      </c>
      <c r="G28" s="1435">
        <v>5404</v>
      </c>
      <c r="H28" s="1435">
        <v>5404</v>
      </c>
      <c r="I28" s="1435">
        <v>5404</v>
      </c>
      <c r="J28" s="1435">
        <v>5404</v>
      </c>
      <c r="K28" s="1435">
        <v>5404</v>
      </c>
      <c r="L28" s="1435">
        <v>5404</v>
      </c>
      <c r="M28" s="1435">
        <v>5404</v>
      </c>
      <c r="N28" s="1435">
        <v>5404</v>
      </c>
      <c r="O28" s="1436">
        <f t="shared" si="0"/>
        <v>64848</v>
      </c>
    </row>
    <row r="29" spans="1:18" s="1437" customFormat="1" ht="14.1" customHeight="1" thickBot="1">
      <c r="A29" s="1427" t="s">
        <v>229</v>
      </c>
      <c r="B29" s="1430" t="s">
        <v>2178</v>
      </c>
      <c r="C29" s="1431"/>
      <c r="D29" s="1431"/>
      <c r="E29" s="1431"/>
      <c r="F29" s="1431"/>
      <c r="G29" s="1431">
        <v>8003</v>
      </c>
      <c r="H29" s="1431"/>
      <c r="I29" s="1431"/>
      <c r="J29" s="1431"/>
      <c r="K29" s="1431"/>
      <c r="L29" s="1431"/>
      <c r="M29" s="1431"/>
      <c r="N29" s="1431"/>
      <c r="O29" s="1436">
        <f t="shared" si="0"/>
        <v>8003</v>
      </c>
    </row>
    <row r="30" spans="1:18" s="1428" customFormat="1" ht="15.95" customHeight="1" thickBot="1">
      <c r="A30" s="1427" t="s">
        <v>2148</v>
      </c>
      <c r="B30" s="1441" t="s">
        <v>884</v>
      </c>
      <c r="C30" s="1442">
        <f>SUM(C16:C29)</f>
        <v>436975</v>
      </c>
      <c r="D30" s="1442">
        <f>SUM(D16:D29)</f>
        <v>436976</v>
      </c>
      <c r="E30" s="1442">
        <f>SUM(E16:E29)</f>
        <v>436975</v>
      </c>
      <c r="F30" s="1442">
        <f>SUM(F16:F29)</f>
        <v>436973</v>
      </c>
      <c r="G30" s="1442">
        <f>SUM(G16:G29)</f>
        <v>444977</v>
      </c>
      <c r="H30" s="1442">
        <f t="shared" ref="H30:N30" si="2">SUM(H16:H29)</f>
        <v>436975</v>
      </c>
      <c r="I30" s="1442">
        <f t="shared" si="2"/>
        <v>349517</v>
      </c>
      <c r="J30" s="1442">
        <f t="shared" si="2"/>
        <v>349517</v>
      </c>
      <c r="K30" s="1442">
        <f t="shared" si="2"/>
        <v>349517</v>
      </c>
      <c r="L30" s="1442">
        <f t="shared" si="2"/>
        <v>293517</v>
      </c>
      <c r="M30" s="1442">
        <f t="shared" si="2"/>
        <v>293516</v>
      </c>
      <c r="N30" s="1442">
        <f t="shared" si="2"/>
        <v>293516</v>
      </c>
      <c r="O30" s="1443">
        <f>SUM(C30:N30)</f>
        <v>4558951</v>
      </c>
    </row>
    <row r="31" spans="1:18" ht="16.5" thickBot="1">
      <c r="A31" s="1427" t="s">
        <v>2179</v>
      </c>
      <c r="B31" s="1444" t="s">
        <v>2180</v>
      </c>
      <c r="C31" s="1445">
        <f t="shared" ref="C31:O31" si="3">C14-C30</f>
        <v>-207330</v>
      </c>
      <c r="D31" s="1445">
        <f t="shared" si="3"/>
        <v>-237327</v>
      </c>
      <c r="E31" s="1445">
        <f t="shared" si="3"/>
        <v>-49503</v>
      </c>
      <c r="F31" s="1445">
        <f t="shared" si="3"/>
        <v>-164715</v>
      </c>
      <c r="G31" s="1445">
        <f t="shared" si="3"/>
        <v>477142</v>
      </c>
      <c r="H31" s="1445">
        <f t="shared" si="3"/>
        <v>-137835</v>
      </c>
      <c r="I31" s="1445">
        <f t="shared" si="3"/>
        <v>182506</v>
      </c>
      <c r="J31" s="1445">
        <f t="shared" si="3"/>
        <v>-15958</v>
      </c>
      <c r="K31" s="1445">
        <f t="shared" si="3"/>
        <v>174534</v>
      </c>
      <c r="L31" s="1445">
        <f t="shared" si="3"/>
        <v>43763</v>
      </c>
      <c r="M31" s="1445">
        <f t="shared" si="3"/>
        <v>-9058</v>
      </c>
      <c r="N31" s="1445">
        <f t="shared" si="3"/>
        <v>-56219</v>
      </c>
      <c r="O31" s="1446">
        <f t="shared" si="3"/>
        <v>0</v>
      </c>
      <c r="R31" s="1447"/>
    </row>
    <row r="32" spans="1:18">
      <c r="A32" s="1448"/>
    </row>
    <row r="33" spans="2:15">
      <c r="B33" s="1449"/>
      <c r="C33" s="1450"/>
      <c r="D33" s="1450"/>
      <c r="O33" s="1451"/>
    </row>
  </sheetData>
  <sheetProtection selectLockedCells="1" selectUnlockedCells="1"/>
  <mergeCells count="2">
    <mergeCell ref="B3:O3"/>
    <mergeCell ref="B15:O1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firstPageNumber="126" orientation="landscape" horizontalDpi="300" verticalDpi="300" r:id="rId1"/>
  <headerFooter alignWithMargins="0">
    <oddHeader>&amp;C&amp;"Times New Roman CE,Félkövér"&amp;12Vecsés Város Önkormányzat 2013. évi előirányzat-felhasználási ütemterve&amp;R&amp;"Arial,Normál"&amp;11 13. sz. melléklet</oddHeader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B1" workbookViewId="0">
      <selection activeCell="M18" sqref="M18"/>
    </sheetView>
  </sheetViews>
  <sheetFormatPr defaultColWidth="9.33203125" defaultRowHeight="12.75"/>
  <cols>
    <col min="1" max="1" width="6.83203125" style="1595" customWidth="1"/>
    <col min="2" max="2" width="49.6640625" style="1319" customWidth="1"/>
    <col min="3" max="4" width="14.5" style="1319" customWidth="1"/>
    <col min="5" max="5" width="16.5" style="1319" customWidth="1"/>
    <col min="6" max="7" width="15.5" style="1319" customWidth="1"/>
    <col min="8" max="8" width="16.83203125" style="1319" customWidth="1"/>
    <col min="9" max="256" width="9.33203125" style="1319"/>
    <col min="257" max="257" width="6.83203125" style="1319" customWidth="1"/>
    <col min="258" max="258" width="49.6640625" style="1319" customWidth="1"/>
    <col min="259" max="260" width="14.5" style="1319" customWidth="1"/>
    <col min="261" max="261" width="16.5" style="1319" customWidth="1"/>
    <col min="262" max="263" width="15.5" style="1319" customWidth="1"/>
    <col min="264" max="264" width="16.83203125" style="1319" customWidth="1"/>
    <col min="265" max="512" width="9.33203125" style="1319"/>
    <col min="513" max="513" width="6.83203125" style="1319" customWidth="1"/>
    <col min="514" max="514" width="49.6640625" style="1319" customWidth="1"/>
    <col min="515" max="516" width="14.5" style="1319" customWidth="1"/>
    <col min="517" max="517" width="16.5" style="1319" customWidth="1"/>
    <col min="518" max="519" width="15.5" style="1319" customWidth="1"/>
    <col min="520" max="520" width="16.83203125" style="1319" customWidth="1"/>
    <col min="521" max="768" width="9.33203125" style="1319"/>
    <col min="769" max="769" width="6.83203125" style="1319" customWidth="1"/>
    <col min="770" max="770" width="49.6640625" style="1319" customWidth="1"/>
    <col min="771" max="772" width="14.5" style="1319" customWidth="1"/>
    <col min="773" max="773" width="16.5" style="1319" customWidth="1"/>
    <col min="774" max="775" width="15.5" style="1319" customWidth="1"/>
    <col min="776" max="776" width="16.83203125" style="1319" customWidth="1"/>
    <col min="777" max="1024" width="9.33203125" style="1319"/>
    <col min="1025" max="1025" width="6.83203125" style="1319" customWidth="1"/>
    <col min="1026" max="1026" width="49.6640625" style="1319" customWidth="1"/>
    <col min="1027" max="1028" width="14.5" style="1319" customWidth="1"/>
    <col min="1029" max="1029" width="16.5" style="1319" customWidth="1"/>
    <col min="1030" max="1031" width="15.5" style="1319" customWidth="1"/>
    <col min="1032" max="1032" width="16.83203125" style="1319" customWidth="1"/>
    <col min="1033" max="1280" width="9.33203125" style="1319"/>
    <col min="1281" max="1281" width="6.83203125" style="1319" customWidth="1"/>
    <col min="1282" max="1282" width="49.6640625" style="1319" customWidth="1"/>
    <col min="1283" max="1284" width="14.5" style="1319" customWidth="1"/>
    <col min="1285" max="1285" width="16.5" style="1319" customWidth="1"/>
    <col min="1286" max="1287" width="15.5" style="1319" customWidth="1"/>
    <col min="1288" max="1288" width="16.83203125" style="1319" customWidth="1"/>
    <col min="1289" max="1536" width="9.33203125" style="1319"/>
    <col min="1537" max="1537" width="6.83203125" style="1319" customWidth="1"/>
    <col min="1538" max="1538" width="49.6640625" style="1319" customWidth="1"/>
    <col min="1539" max="1540" width="14.5" style="1319" customWidth="1"/>
    <col min="1541" max="1541" width="16.5" style="1319" customWidth="1"/>
    <col min="1542" max="1543" width="15.5" style="1319" customWidth="1"/>
    <col min="1544" max="1544" width="16.83203125" style="1319" customWidth="1"/>
    <col min="1545" max="1792" width="9.33203125" style="1319"/>
    <col min="1793" max="1793" width="6.83203125" style="1319" customWidth="1"/>
    <col min="1794" max="1794" width="49.6640625" style="1319" customWidth="1"/>
    <col min="1795" max="1796" width="14.5" style="1319" customWidth="1"/>
    <col min="1797" max="1797" width="16.5" style="1319" customWidth="1"/>
    <col min="1798" max="1799" width="15.5" style="1319" customWidth="1"/>
    <col min="1800" max="1800" width="16.83203125" style="1319" customWidth="1"/>
    <col min="1801" max="2048" width="9.33203125" style="1319"/>
    <col min="2049" max="2049" width="6.83203125" style="1319" customWidth="1"/>
    <col min="2050" max="2050" width="49.6640625" style="1319" customWidth="1"/>
    <col min="2051" max="2052" width="14.5" style="1319" customWidth="1"/>
    <col min="2053" max="2053" width="16.5" style="1319" customWidth="1"/>
    <col min="2054" max="2055" width="15.5" style="1319" customWidth="1"/>
    <col min="2056" max="2056" width="16.83203125" style="1319" customWidth="1"/>
    <col min="2057" max="2304" width="9.33203125" style="1319"/>
    <col min="2305" max="2305" width="6.83203125" style="1319" customWidth="1"/>
    <col min="2306" max="2306" width="49.6640625" style="1319" customWidth="1"/>
    <col min="2307" max="2308" width="14.5" style="1319" customWidth="1"/>
    <col min="2309" max="2309" width="16.5" style="1319" customWidth="1"/>
    <col min="2310" max="2311" width="15.5" style="1319" customWidth="1"/>
    <col min="2312" max="2312" width="16.83203125" style="1319" customWidth="1"/>
    <col min="2313" max="2560" width="9.33203125" style="1319"/>
    <col min="2561" max="2561" width="6.83203125" style="1319" customWidth="1"/>
    <col min="2562" max="2562" width="49.6640625" style="1319" customWidth="1"/>
    <col min="2563" max="2564" width="14.5" style="1319" customWidth="1"/>
    <col min="2565" max="2565" width="16.5" style="1319" customWidth="1"/>
    <col min="2566" max="2567" width="15.5" style="1319" customWidth="1"/>
    <col min="2568" max="2568" width="16.83203125" style="1319" customWidth="1"/>
    <col min="2569" max="2816" width="9.33203125" style="1319"/>
    <col min="2817" max="2817" width="6.83203125" style="1319" customWidth="1"/>
    <col min="2818" max="2818" width="49.6640625" style="1319" customWidth="1"/>
    <col min="2819" max="2820" width="14.5" style="1319" customWidth="1"/>
    <col min="2821" max="2821" width="16.5" style="1319" customWidth="1"/>
    <col min="2822" max="2823" width="15.5" style="1319" customWidth="1"/>
    <col min="2824" max="2824" width="16.83203125" style="1319" customWidth="1"/>
    <col min="2825" max="3072" width="9.33203125" style="1319"/>
    <col min="3073" max="3073" width="6.83203125" style="1319" customWidth="1"/>
    <col min="3074" max="3074" width="49.6640625" style="1319" customWidth="1"/>
    <col min="3075" max="3076" width="14.5" style="1319" customWidth="1"/>
    <col min="3077" max="3077" width="16.5" style="1319" customWidth="1"/>
    <col min="3078" max="3079" width="15.5" style="1319" customWidth="1"/>
    <col min="3080" max="3080" width="16.83203125" style="1319" customWidth="1"/>
    <col min="3081" max="3328" width="9.33203125" style="1319"/>
    <col min="3329" max="3329" width="6.83203125" style="1319" customWidth="1"/>
    <col min="3330" max="3330" width="49.6640625" style="1319" customWidth="1"/>
    <col min="3331" max="3332" width="14.5" style="1319" customWidth="1"/>
    <col min="3333" max="3333" width="16.5" style="1319" customWidth="1"/>
    <col min="3334" max="3335" width="15.5" style="1319" customWidth="1"/>
    <col min="3336" max="3336" width="16.83203125" style="1319" customWidth="1"/>
    <col min="3337" max="3584" width="9.33203125" style="1319"/>
    <col min="3585" max="3585" width="6.83203125" style="1319" customWidth="1"/>
    <col min="3586" max="3586" width="49.6640625" style="1319" customWidth="1"/>
    <col min="3587" max="3588" width="14.5" style="1319" customWidth="1"/>
    <col min="3589" max="3589" width="16.5" style="1319" customWidth="1"/>
    <col min="3590" max="3591" width="15.5" style="1319" customWidth="1"/>
    <col min="3592" max="3592" width="16.83203125" style="1319" customWidth="1"/>
    <col min="3593" max="3840" width="9.33203125" style="1319"/>
    <col min="3841" max="3841" width="6.83203125" style="1319" customWidth="1"/>
    <col min="3842" max="3842" width="49.6640625" style="1319" customWidth="1"/>
    <col min="3843" max="3844" width="14.5" style="1319" customWidth="1"/>
    <col min="3845" max="3845" width="16.5" style="1319" customWidth="1"/>
    <col min="3846" max="3847" width="15.5" style="1319" customWidth="1"/>
    <col min="3848" max="3848" width="16.83203125" style="1319" customWidth="1"/>
    <col min="3849" max="4096" width="9.33203125" style="1319"/>
    <col min="4097" max="4097" width="6.83203125" style="1319" customWidth="1"/>
    <col min="4098" max="4098" width="49.6640625" style="1319" customWidth="1"/>
    <col min="4099" max="4100" width="14.5" style="1319" customWidth="1"/>
    <col min="4101" max="4101" width="16.5" style="1319" customWidth="1"/>
    <col min="4102" max="4103" width="15.5" style="1319" customWidth="1"/>
    <col min="4104" max="4104" width="16.83203125" style="1319" customWidth="1"/>
    <col min="4105" max="4352" width="9.33203125" style="1319"/>
    <col min="4353" max="4353" width="6.83203125" style="1319" customWidth="1"/>
    <col min="4354" max="4354" width="49.6640625" style="1319" customWidth="1"/>
    <col min="4355" max="4356" width="14.5" style="1319" customWidth="1"/>
    <col min="4357" max="4357" width="16.5" style="1319" customWidth="1"/>
    <col min="4358" max="4359" width="15.5" style="1319" customWidth="1"/>
    <col min="4360" max="4360" width="16.83203125" style="1319" customWidth="1"/>
    <col min="4361" max="4608" width="9.33203125" style="1319"/>
    <col min="4609" max="4609" width="6.83203125" style="1319" customWidth="1"/>
    <col min="4610" max="4610" width="49.6640625" style="1319" customWidth="1"/>
    <col min="4611" max="4612" width="14.5" style="1319" customWidth="1"/>
    <col min="4613" max="4613" width="16.5" style="1319" customWidth="1"/>
    <col min="4614" max="4615" width="15.5" style="1319" customWidth="1"/>
    <col min="4616" max="4616" width="16.83203125" style="1319" customWidth="1"/>
    <col min="4617" max="4864" width="9.33203125" style="1319"/>
    <col min="4865" max="4865" width="6.83203125" style="1319" customWidth="1"/>
    <col min="4866" max="4866" width="49.6640625" style="1319" customWidth="1"/>
    <col min="4867" max="4868" width="14.5" style="1319" customWidth="1"/>
    <col min="4869" max="4869" width="16.5" style="1319" customWidth="1"/>
    <col min="4870" max="4871" width="15.5" style="1319" customWidth="1"/>
    <col min="4872" max="4872" width="16.83203125" style="1319" customWidth="1"/>
    <col min="4873" max="5120" width="9.33203125" style="1319"/>
    <col min="5121" max="5121" width="6.83203125" style="1319" customWidth="1"/>
    <col min="5122" max="5122" width="49.6640625" style="1319" customWidth="1"/>
    <col min="5123" max="5124" width="14.5" style="1319" customWidth="1"/>
    <col min="5125" max="5125" width="16.5" style="1319" customWidth="1"/>
    <col min="5126" max="5127" width="15.5" style="1319" customWidth="1"/>
    <col min="5128" max="5128" width="16.83203125" style="1319" customWidth="1"/>
    <col min="5129" max="5376" width="9.33203125" style="1319"/>
    <col min="5377" max="5377" width="6.83203125" style="1319" customWidth="1"/>
    <col min="5378" max="5378" width="49.6640625" style="1319" customWidth="1"/>
    <col min="5379" max="5380" width="14.5" style="1319" customWidth="1"/>
    <col min="5381" max="5381" width="16.5" style="1319" customWidth="1"/>
    <col min="5382" max="5383" width="15.5" style="1319" customWidth="1"/>
    <col min="5384" max="5384" width="16.83203125" style="1319" customWidth="1"/>
    <col min="5385" max="5632" width="9.33203125" style="1319"/>
    <col min="5633" max="5633" width="6.83203125" style="1319" customWidth="1"/>
    <col min="5634" max="5634" width="49.6640625" style="1319" customWidth="1"/>
    <col min="5635" max="5636" width="14.5" style="1319" customWidth="1"/>
    <col min="5637" max="5637" width="16.5" style="1319" customWidth="1"/>
    <col min="5638" max="5639" width="15.5" style="1319" customWidth="1"/>
    <col min="5640" max="5640" width="16.83203125" style="1319" customWidth="1"/>
    <col min="5641" max="5888" width="9.33203125" style="1319"/>
    <col min="5889" max="5889" width="6.83203125" style="1319" customWidth="1"/>
    <col min="5890" max="5890" width="49.6640625" style="1319" customWidth="1"/>
    <col min="5891" max="5892" width="14.5" style="1319" customWidth="1"/>
    <col min="5893" max="5893" width="16.5" style="1319" customWidth="1"/>
    <col min="5894" max="5895" width="15.5" style="1319" customWidth="1"/>
    <col min="5896" max="5896" width="16.83203125" style="1319" customWidth="1"/>
    <col min="5897" max="6144" width="9.33203125" style="1319"/>
    <col min="6145" max="6145" width="6.83203125" style="1319" customWidth="1"/>
    <col min="6146" max="6146" width="49.6640625" style="1319" customWidth="1"/>
    <col min="6147" max="6148" width="14.5" style="1319" customWidth="1"/>
    <col min="6149" max="6149" width="16.5" style="1319" customWidth="1"/>
    <col min="6150" max="6151" width="15.5" style="1319" customWidth="1"/>
    <col min="6152" max="6152" width="16.83203125" style="1319" customWidth="1"/>
    <col min="6153" max="6400" width="9.33203125" style="1319"/>
    <col min="6401" max="6401" width="6.83203125" style="1319" customWidth="1"/>
    <col min="6402" max="6402" width="49.6640625" style="1319" customWidth="1"/>
    <col min="6403" max="6404" width="14.5" style="1319" customWidth="1"/>
    <col min="6405" max="6405" width="16.5" style="1319" customWidth="1"/>
    <col min="6406" max="6407" width="15.5" style="1319" customWidth="1"/>
    <col min="6408" max="6408" width="16.83203125" style="1319" customWidth="1"/>
    <col min="6409" max="6656" width="9.33203125" style="1319"/>
    <col min="6657" max="6657" width="6.83203125" style="1319" customWidth="1"/>
    <col min="6658" max="6658" width="49.6640625" style="1319" customWidth="1"/>
    <col min="6659" max="6660" width="14.5" style="1319" customWidth="1"/>
    <col min="6661" max="6661" width="16.5" style="1319" customWidth="1"/>
    <col min="6662" max="6663" width="15.5" style="1319" customWidth="1"/>
    <col min="6664" max="6664" width="16.83203125" style="1319" customWidth="1"/>
    <col min="6665" max="6912" width="9.33203125" style="1319"/>
    <col min="6913" max="6913" width="6.83203125" style="1319" customWidth="1"/>
    <col min="6914" max="6914" width="49.6640625" style="1319" customWidth="1"/>
    <col min="6915" max="6916" width="14.5" style="1319" customWidth="1"/>
    <col min="6917" max="6917" width="16.5" style="1319" customWidth="1"/>
    <col min="6918" max="6919" width="15.5" style="1319" customWidth="1"/>
    <col min="6920" max="6920" width="16.83203125" style="1319" customWidth="1"/>
    <col min="6921" max="7168" width="9.33203125" style="1319"/>
    <col min="7169" max="7169" width="6.83203125" style="1319" customWidth="1"/>
    <col min="7170" max="7170" width="49.6640625" style="1319" customWidth="1"/>
    <col min="7171" max="7172" width="14.5" style="1319" customWidth="1"/>
    <col min="7173" max="7173" width="16.5" style="1319" customWidth="1"/>
    <col min="7174" max="7175" width="15.5" style="1319" customWidth="1"/>
    <col min="7176" max="7176" width="16.83203125" style="1319" customWidth="1"/>
    <col min="7177" max="7424" width="9.33203125" style="1319"/>
    <col min="7425" max="7425" width="6.83203125" style="1319" customWidth="1"/>
    <col min="7426" max="7426" width="49.6640625" style="1319" customWidth="1"/>
    <col min="7427" max="7428" width="14.5" style="1319" customWidth="1"/>
    <col min="7429" max="7429" width="16.5" style="1319" customWidth="1"/>
    <col min="7430" max="7431" width="15.5" style="1319" customWidth="1"/>
    <col min="7432" max="7432" width="16.83203125" style="1319" customWidth="1"/>
    <col min="7433" max="7680" width="9.33203125" style="1319"/>
    <col min="7681" max="7681" width="6.83203125" style="1319" customWidth="1"/>
    <col min="7682" max="7682" width="49.6640625" style="1319" customWidth="1"/>
    <col min="7683" max="7684" width="14.5" style="1319" customWidth="1"/>
    <col min="7685" max="7685" width="16.5" style="1319" customWidth="1"/>
    <col min="7686" max="7687" width="15.5" style="1319" customWidth="1"/>
    <col min="7688" max="7688" width="16.83203125" style="1319" customWidth="1"/>
    <col min="7689" max="7936" width="9.33203125" style="1319"/>
    <col min="7937" max="7937" width="6.83203125" style="1319" customWidth="1"/>
    <col min="7938" max="7938" width="49.6640625" style="1319" customWidth="1"/>
    <col min="7939" max="7940" width="14.5" style="1319" customWidth="1"/>
    <col min="7941" max="7941" width="16.5" style="1319" customWidth="1"/>
    <col min="7942" max="7943" width="15.5" style="1319" customWidth="1"/>
    <col min="7944" max="7944" width="16.83203125" style="1319" customWidth="1"/>
    <col min="7945" max="8192" width="9.33203125" style="1319"/>
    <col min="8193" max="8193" width="6.83203125" style="1319" customWidth="1"/>
    <col min="8194" max="8194" width="49.6640625" style="1319" customWidth="1"/>
    <col min="8195" max="8196" width="14.5" style="1319" customWidth="1"/>
    <col min="8197" max="8197" width="16.5" style="1319" customWidth="1"/>
    <col min="8198" max="8199" width="15.5" style="1319" customWidth="1"/>
    <col min="8200" max="8200" width="16.83203125" style="1319" customWidth="1"/>
    <col min="8201" max="8448" width="9.33203125" style="1319"/>
    <col min="8449" max="8449" width="6.83203125" style="1319" customWidth="1"/>
    <col min="8450" max="8450" width="49.6640625" style="1319" customWidth="1"/>
    <col min="8451" max="8452" width="14.5" style="1319" customWidth="1"/>
    <col min="8453" max="8453" width="16.5" style="1319" customWidth="1"/>
    <col min="8454" max="8455" width="15.5" style="1319" customWidth="1"/>
    <col min="8456" max="8456" width="16.83203125" style="1319" customWidth="1"/>
    <col min="8457" max="8704" width="9.33203125" style="1319"/>
    <col min="8705" max="8705" width="6.83203125" style="1319" customWidth="1"/>
    <col min="8706" max="8706" width="49.6640625" style="1319" customWidth="1"/>
    <col min="8707" max="8708" width="14.5" style="1319" customWidth="1"/>
    <col min="8709" max="8709" width="16.5" style="1319" customWidth="1"/>
    <col min="8710" max="8711" width="15.5" style="1319" customWidth="1"/>
    <col min="8712" max="8712" width="16.83203125" style="1319" customWidth="1"/>
    <col min="8713" max="8960" width="9.33203125" style="1319"/>
    <col min="8961" max="8961" width="6.83203125" style="1319" customWidth="1"/>
    <col min="8962" max="8962" width="49.6640625" style="1319" customWidth="1"/>
    <col min="8963" max="8964" width="14.5" style="1319" customWidth="1"/>
    <col min="8965" max="8965" width="16.5" style="1319" customWidth="1"/>
    <col min="8966" max="8967" width="15.5" style="1319" customWidth="1"/>
    <col min="8968" max="8968" width="16.83203125" style="1319" customWidth="1"/>
    <col min="8969" max="9216" width="9.33203125" style="1319"/>
    <col min="9217" max="9217" width="6.83203125" style="1319" customWidth="1"/>
    <col min="9218" max="9218" width="49.6640625" style="1319" customWidth="1"/>
    <col min="9219" max="9220" width="14.5" style="1319" customWidth="1"/>
    <col min="9221" max="9221" width="16.5" style="1319" customWidth="1"/>
    <col min="9222" max="9223" width="15.5" style="1319" customWidth="1"/>
    <col min="9224" max="9224" width="16.83203125" style="1319" customWidth="1"/>
    <col min="9225" max="9472" width="9.33203125" style="1319"/>
    <col min="9473" max="9473" width="6.83203125" style="1319" customWidth="1"/>
    <col min="9474" max="9474" width="49.6640625" style="1319" customWidth="1"/>
    <col min="9475" max="9476" width="14.5" style="1319" customWidth="1"/>
    <col min="9477" max="9477" width="16.5" style="1319" customWidth="1"/>
    <col min="9478" max="9479" width="15.5" style="1319" customWidth="1"/>
    <col min="9480" max="9480" width="16.83203125" style="1319" customWidth="1"/>
    <col min="9481" max="9728" width="9.33203125" style="1319"/>
    <col min="9729" max="9729" width="6.83203125" style="1319" customWidth="1"/>
    <col min="9730" max="9730" width="49.6640625" style="1319" customWidth="1"/>
    <col min="9731" max="9732" width="14.5" style="1319" customWidth="1"/>
    <col min="9733" max="9733" width="16.5" style="1319" customWidth="1"/>
    <col min="9734" max="9735" width="15.5" style="1319" customWidth="1"/>
    <col min="9736" max="9736" width="16.83203125" style="1319" customWidth="1"/>
    <col min="9737" max="9984" width="9.33203125" style="1319"/>
    <col min="9985" max="9985" width="6.83203125" style="1319" customWidth="1"/>
    <col min="9986" max="9986" width="49.6640625" style="1319" customWidth="1"/>
    <col min="9987" max="9988" width="14.5" style="1319" customWidth="1"/>
    <col min="9989" max="9989" width="16.5" style="1319" customWidth="1"/>
    <col min="9990" max="9991" width="15.5" style="1319" customWidth="1"/>
    <col min="9992" max="9992" width="16.83203125" style="1319" customWidth="1"/>
    <col min="9993" max="10240" width="9.33203125" style="1319"/>
    <col min="10241" max="10241" width="6.83203125" style="1319" customWidth="1"/>
    <col min="10242" max="10242" width="49.6640625" style="1319" customWidth="1"/>
    <col min="10243" max="10244" width="14.5" style="1319" customWidth="1"/>
    <col min="10245" max="10245" width="16.5" style="1319" customWidth="1"/>
    <col min="10246" max="10247" width="15.5" style="1319" customWidth="1"/>
    <col min="10248" max="10248" width="16.83203125" style="1319" customWidth="1"/>
    <col min="10249" max="10496" width="9.33203125" style="1319"/>
    <col min="10497" max="10497" width="6.83203125" style="1319" customWidth="1"/>
    <col min="10498" max="10498" width="49.6640625" style="1319" customWidth="1"/>
    <col min="10499" max="10500" width="14.5" style="1319" customWidth="1"/>
    <col min="10501" max="10501" width="16.5" style="1319" customWidth="1"/>
    <col min="10502" max="10503" width="15.5" style="1319" customWidth="1"/>
    <col min="10504" max="10504" width="16.83203125" style="1319" customWidth="1"/>
    <col min="10505" max="10752" width="9.33203125" style="1319"/>
    <col min="10753" max="10753" width="6.83203125" style="1319" customWidth="1"/>
    <col min="10754" max="10754" width="49.6640625" style="1319" customWidth="1"/>
    <col min="10755" max="10756" width="14.5" style="1319" customWidth="1"/>
    <col min="10757" max="10757" width="16.5" style="1319" customWidth="1"/>
    <col min="10758" max="10759" width="15.5" style="1319" customWidth="1"/>
    <col min="10760" max="10760" width="16.83203125" style="1319" customWidth="1"/>
    <col min="10761" max="11008" width="9.33203125" style="1319"/>
    <col min="11009" max="11009" width="6.83203125" style="1319" customWidth="1"/>
    <col min="11010" max="11010" width="49.6640625" style="1319" customWidth="1"/>
    <col min="11011" max="11012" width="14.5" style="1319" customWidth="1"/>
    <col min="11013" max="11013" width="16.5" style="1319" customWidth="1"/>
    <col min="11014" max="11015" width="15.5" style="1319" customWidth="1"/>
    <col min="11016" max="11016" width="16.83203125" style="1319" customWidth="1"/>
    <col min="11017" max="11264" width="9.33203125" style="1319"/>
    <col min="11265" max="11265" width="6.83203125" style="1319" customWidth="1"/>
    <col min="11266" max="11266" width="49.6640625" style="1319" customWidth="1"/>
    <col min="11267" max="11268" width="14.5" style="1319" customWidth="1"/>
    <col min="11269" max="11269" width="16.5" style="1319" customWidth="1"/>
    <col min="11270" max="11271" width="15.5" style="1319" customWidth="1"/>
    <col min="11272" max="11272" width="16.83203125" style="1319" customWidth="1"/>
    <col min="11273" max="11520" width="9.33203125" style="1319"/>
    <col min="11521" max="11521" width="6.83203125" style="1319" customWidth="1"/>
    <col min="11522" max="11522" width="49.6640625" style="1319" customWidth="1"/>
    <col min="11523" max="11524" width="14.5" style="1319" customWidth="1"/>
    <col min="11525" max="11525" width="16.5" style="1319" customWidth="1"/>
    <col min="11526" max="11527" width="15.5" style="1319" customWidth="1"/>
    <col min="11528" max="11528" width="16.83203125" style="1319" customWidth="1"/>
    <col min="11529" max="11776" width="9.33203125" style="1319"/>
    <col min="11777" max="11777" width="6.83203125" style="1319" customWidth="1"/>
    <col min="11778" max="11778" width="49.6640625" style="1319" customWidth="1"/>
    <col min="11779" max="11780" width="14.5" style="1319" customWidth="1"/>
    <col min="11781" max="11781" width="16.5" style="1319" customWidth="1"/>
    <col min="11782" max="11783" width="15.5" style="1319" customWidth="1"/>
    <col min="11784" max="11784" width="16.83203125" style="1319" customWidth="1"/>
    <col min="11785" max="12032" width="9.33203125" style="1319"/>
    <col min="12033" max="12033" width="6.83203125" style="1319" customWidth="1"/>
    <col min="12034" max="12034" width="49.6640625" style="1319" customWidth="1"/>
    <col min="12035" max="12036" width="14.5" style="1319" customWidth="1"/>
    <col min="12037" max="12037" width="16.5" style="1319" customWidth="1"/>
    <col min="12038" max="12039" width="15.5" style="1319" customWidth="1"/>
    <col min="12040" max="12040" width="16.83203125" style="1319" customWidth="1"/>
    <col min="12041" max="12288" width="9.33203125" style="1319"/>
    <col min="12289" max="12289" width="6.83203125" style="1319" customWidth="1"/>
    <col min="12290" max="12290" width="49.6640625" style="1319" customWidth="1"/>
    <col min="12291" max="12292" width="14.5" style="1319" customWidth="1"/>
    <col min="12293" max="12293" width="16.5" style="1319" customWidth="1"/>
    <col min="12294" max="12295" width="15.5" style="1319" customWidth="1"/>
    <col min="12296" max="12296" width="16.83203125" style="1319" customWidth="1"/>
    <col min="12297" max="12544" width="9.33203125" style="1319"/>
    <col min="12545" max="12545" width="6.83203125" style="1319" customWidth="1"/>
    <col min="12546" max="12546" width="49.6640625" style="1319" customWidth="1"/>
    <col min="12547" max="12548" width="14.5" style="1319" customWidth="1"/>
    <col min="12549" max="12549" width="16.5" style="1319" customWidth="1"/>
    <col min="12550" max="12551" width="15.5" style="1319" customWidth="1"/>
    <col min="12552" max="12552" width="16.83203125" style="1319" customWidth="1"/>
    <col min="12553" max="12800" width="9.33203125" style="1319"/>
    <col min="12801" max="12801" width="6.83203125" style="1319" customWidth="1"/>
    <col min="12802" max="12802" width="49.6640625" style="1319" customWidth="1"/>
    <col min="12803" max="12804" width="14.5" style="1319" customWidth="1"/>
    <col min="12805" max="12805" width="16.5" style="1319" customWidth="1"/>
    <col min="12806" max="12807" width="15.5" style="1319" customWidth="1"/>
    <col min="12808" max="12808" width="16.83203125" style="1319" customWidth="1"/>
    <col min="12809" max="13056" width="9.33203125" style="1319"/>
    <col min="13057" max="13057" width="6.83203125" style="1319" customWidth="1"/>
    <col min="13058" max="13058" width="49.6640625" style="1319" customWidth="1"/>
    <col min="13059" max="13060" width="14.5" style="1319" customWidth="1"/>
    <col min="13061" max="13061" width="16.5" style="1319" customWidth="1"/>
    <col min="13062" max="13063" width="15.5" style="1319" customWidth="1"/>
    <col min="13064" max="13064" width="16.83203125" style="1319" customWidth="1"/>
    <col min="13065" max="13312" width="9.33203125" style="1319"/>
    <col min="13313" max="13313" width="6.83203125" style="1319" customWidth="1"/>
    <col min="13314" max="13314" width="49.6640625" style="1319" customWidth="1"/>
    <col min="13315" max="13316" width="14.5" style="1319" customWidth="1"/>
    <col min="13317" max="13317" width="16.5" style="1319" customWidth="1"/>
    <col min="13318" max="13319" width="15.5" style="1319" customWidth="1"/>
    <col min="13320" max="13320" width="16.83203125" style="1319" customWidth="1"/>
    <col min="13321" max="13568" width="9.33203125" style="1319"/>
    <col min="13569" max="13569" width="6.83203125" style="1319" customWidth="1"/>
    <col min="13570" max="13570" width="49.6640625" style="1319" customWidth="1"/>
    <col min="13571" max="13572" width="14.5" style="1319" customWidth="1"/>
    <col min="13573" max="13573" width="16.5" style="1319" customWidth="1"/>
    <col min="13574" max="13575" width="15.5" style="1319" customWidth="1"/>
    <col min="13576" max="13576" width="16.83203125" style="1319" customWidth="1"/>
    <col min="13577" max="13824" width="9.33203125" style="1319"/>
    <col min="13825" max="13825" width="6.83203125" style="1319" customWidth="1"/>
    <col min="13826" max="13826" width="49.6640625" style="1319" customWidth="1"/>
    <col min="13827" max="13828" width="14.5" style="1319" customWidth="1"/>
    <col min="13829" max="13829" width="16.5" style="1319" customWidth="1"/>
    <col min="13830" max="13831" width="15.5" style="1319" customWidth="1"/>
    <col min="13832" max="13832" width="16.83203125" style="1319" customWidth="1"/>
    <col min="13833" max="14080" width="9.33203125" style="1319"/>
    <col min="14081" max="14081" width="6.83203125" style="1319" customWidth="1"/>
    <col min="14082" max="14082" width="49.6640625" style="1319" customWidth="1"/>
    <col min="14083" max="14084" width="14.5" style="1319" customWidth="1"/>
    <col min="14085" max="14085" width="16.5" style="1319" customWidth="1"/>
    <col min="14086" max="14087" width="15.5" style="1319" customWidth="1"/>
    <col min="14088" max="14088" width="16.83203125" style="1319" customWidth="1"/>
    <col min="14089" max="14336" width="9.33203125" style="1319"/>
    <col min="14337" max="14337" width="6.83203125" style="1319" customWidth="1"/>
    <col min="14338" max="14338" width="49.6640625" style="1319" customWidth="1"/>
    <col min="14339" max="14340" width="14.5" style="1319" customWidth="1"/>
    <col min="14341" max="14341" width="16.5" style="1319" customWidth="1"/>
    <col min="14342" max="14343" width="15.5" style="1319" customWidth="1"/>
    <col min="14344" max="14344" width="16.83203125" style="1319" customWidth="1"/>
    <col min="14345" max="14592" width="9.33203125" style="1319"/>
    <col min="14593" max="14593" width="6.83203125" style="1319" customWidth="1"/>
    <col min="14594" max="14594" width="49.6640625" style="1319" customWidth="1"/>
    <col min="14595" max="14596" width="14.5" style="1319" customWidth="1"/>
    <col min="14597" max="14597" width="16.5" style="1319" customWidth="1"/>
    <col min="14598" max="14599" width="15.5" style="1319" customWidth="1"/>
    <col min="14600" max="14600" width="16.83203125" style="1319" customWidth="1"/>
    <col min="14601" max="14848" width="9.33203125" style="1319"/>
    <col min="14849" max="14849" width="6.83203125" style="1319" customWidth="1"/>
    <col min="14850" max="14850" width="49.6640625" style="1319" customWidth="1"/>
    <col min="14851" max="14852" width="14.5" style="1319" customWidth="1"/>
    <col min="14853" max="14853" width="16.5" style="1319" customWidth="1"/>
    <col min="14854" max="14855" width="15.5" style="1319" customWidth="1"/>
    <col min="14856" max="14856" width="16.83203125" style="1319" customWidth="1"/>
    <col min="14857" max="15104" width="9.33203125" style="1319"/>
    <col min="15105" max="15105" width="6.83203125" style="1319" customWidth="1"/>
    <col min="15106" max="15106" width="49.6640625" style="1319" customWidth="1"/>
    <col min="15107" max="15108" width="14.5" style="1319" customWidth="1"/>
    <col min="15109" max="15109" width="16.5" style="1319" customWidth="1"/>
    <col min="15110" max="15111" width="15.5" style="1319" customWidth="1"/>
    <col min="15112" max="15112" width="16.83203125" style="1319" customWidth="1"/>
    <col min="15113" max="15360" width="9.33203125" style="1319"/>
    <col min="15361" max="15361" width="6.83203125" style="1319" customWidth="1"/>
    <col min="15362" max="15362" width="49.6640625" style="1319" customWidth="1"/>
    <col min="15363" max="15364" width="14.5" style="1319" customWidth="1"/>
    <col min="15365" max="15365" width="16.5" style="1319" customWidth="1"/>
    <col min="15366" max="15367" width="15.5" style="1319" customWidth="1"/>
    <col min="15368" max="15368" width="16.83203125" style="1319" customWidth="1"/>
    <col min="15369" max="15616" width="9.33203125" style="1319"/>
    <col min="15617" max="15617" width="6.83203125" style="1319" customWidth="1"/>
    <col min="15618" max="15618" width="49.6640625" style="1319" customWidth="1"/>
    <col min="15619" max="15620" width="14.5" style="1319" customWidth="1"/>
    <col min="15621" max="15621" width="16.5" style="1319" customWidth="1"/>
    <col min="15622" max="15623" width="15.5" style="1319" customWidth="1"/>
    <col min="15624" max="15624" width="16.83203125" style="1319" customWidth="1"/>
    <col min="15625" max="15872" width="9.33203125" style="1319"/>
    <col min="15873" max="15873" width="6.83203125" style="1319" customWidth="1"/>
    <col min="15874" max="15874" width="49.6640625" style="1319" customWidth="1"/>
    <col min="15875" max="15876" width="14.5" style="1319" customWidth="1"/>
    <col min="15877" max="15877" width="16.5" style="1319" customWidth="1"/>
    <col min="15878" max="15879" width="15.5" style="1319" customWidth="1"/>
    <col min="15880" max="15880" width="16.83203125" style="1319" customWidth="1"/>
    <col min="15881" max="16128" width="9.33203125" style="1319"/>
    <col min="16129" max="16129" width="6.83203125" style="1319" customWidth="1"/>
    <col min="16130" max="16130" width="49.6640625" style="1319" customWidth="1"/>
    <col min="16131" max="16132" width="14.5" style="1319" customWidth="1"/>
    <col min="16133" max="16133" width="16.5" style="1319" customWidth="1"/>
    <col min="16134" max="16135" width="15.5" style="1319" customWidth="1"/>
    <col min="16136" max="16136" width="16.83203125" style="1319" customWidth="1"/>
    <col min="16137" max="16384" width="9.33203125" style="1319"/>
  </cols>
  <sheetData>
    <row r="1" spans="1:8" s="1453" customFormat="1" ht="15.75" thickBot="1">
      <c r="A1" s="1452"/>
      <c r="H1" s="1454" t="s">
        <v>2181</v>
      </c>
    </row>
    <row r="2" spans="1:8" s="1321" customFormat="1" ht="26.25" customHeight="1">
      <c r="A2" s="1991" t="s">
        <v>195</v>
      </c>
      <c r="B2" s="1989" t="s">
        <v>2182</v>
      </c>
      <c r="C2" s="1991" t="s">
        <v>2183</v>
      </c>
      <c r="D2" s="1991" t="s">
        <v>2184</v>
      </c>
      <c r="E2" s="1455" t="s">
        <v>2185</v>
      </c>
      <c r="F2" s="1456"/>
      <c r="G2" s="1456"/>
      <c r="H2" s="1457"/>
    </row>
    <row r="3" spans="1:8" s="1322" customFormat="1" ht="32.25" customHeight="1" thickBot="1">
      <c r="A3" s="1992"/>
      <c r="B3" s="1990"/>
      <c r="C3" s="1990"/>
      <c r="D3" s="1992"/>
      <c r="E3" s="1725">
        <v>2013</v>
      </c>
      <c r="F3" s="1725">
        <v>2014</v>
      </c>
      <c r="G3" s="1725">
        <v>2015</v>
      </c>
      <c r="H3" s="1726" t="s">
        <v>2186</v>
      </c>
    </row>
    <row r="4" spans="1:8" s="1328" customFormat="1" ht="18.75" customHeight="1" thickBot="1">
      <c r="A4" s="1323">
        <v>1</v>
      </c>
      <c r="B4" s="1324">
        <v>2</v>
      </c>
      <c r="C4" s="1324">
        <v>3</v>
      </c>
      <c r="D4" s="1325">
        <v>4</v>
      </c>
      <c r="E4" s="1323">
        <v>5</v>
      </c>
      <c r="F4" s="1325">
        <v>6</v>
      </c>
      <c r="G4" s="1325">
        <v>7</v>
      </c>
      <c r="H4" s="1326">
        <v>8</v>
      </c>
    </row>
    <row r="5" spans="1:8" s="1337" customFormat="1" ht="20.100000000000001" customHeight="1" thickBot="1">
      <c r="A5" s="1329" t="s">
        <v>4</v>
      </c>
      <c r="B5" s="1330" t="s">
        <v>2187</v>
      </c>
      <c r="C5" s="1458"/>
      <c r="D5" s="1459"/>
      <c r="E5" s="1460">
        <f>SUM(E6:E9)</f>
        <v>0</v>
      </c>
      <c r="F5" s="1461">
        <f>SUM(F6:F9)</f>
        <v>0</v>
      </c>
      <c r="G5" s="1461">
        <f>SUM(G6:G9)</f>
        <v>0</v>
      </c>
      <c r="H5" s="1462">
        <f>SUM(H6:H9)</f>
        <v>0</v>
      </c>
    </row>
    <row r="6" spans="1:8" s="1337" customFormat="1" ht="20.100000000000001" customHeight="1">
      <c r="A6" s="1727" t="s">
        <v>5</v>
      </c>
      <c r="B6" s="1728"/>
      <c r="C6" s="1729"/>
      <c r="D6" s="1338"/>
      <c r="E6" s="1730">
        <v>0</v>
      </c>
      <c r="F6" s="1339"/>
      <c r="G6" s="1339"/>
      <c r="H6" s="1731"/>
    </row>
    <row r="7" spans="1:8" s="1337" customFormat="1" ht="20.100000000000001" customHeight="1">
      <c r="A7" s="1727" t="s">
        <v>19</v>
      </c>
      <c r="B7" s="1728"/>
      <c r="C7" s="1729"/>
      <c r="D7" s="1338"/>
      <c r="E7" s="1730"/>
      <c r="F7" s="1339"/>
      <c r="G7" s="1339"/>
      <c r="H7" s="1731"/>
    </row>
    <row r="8" spans="1:8" s="1337" customFormat="1" ht="20.100000000000001" customHeight="1">
      <c r="A8" s="1727" t="s">
        <v>149</v>
      </c>
      <c r="B8" s="1728"/>
      <c r="C8" s="1729"/>
      <c r="D8" s="1338"/>
      <c r="E8" s="1730"/>
      <c r="F8" s="1339"/>
      <c r="G8" s="1339"/>
      <c r="H8" s="1731"/>
    </row>
    <row r="9" spans="1:8" s="1337" customFormat="1" ht="20.100000000000001" customHeight="1" thickBot="1">
      <c r="A9" s="1727" t="s">
        <v>38</v>
      </c>
      <c r="B9" s="1728"/>
      <c r="C9" s="1729"/>
      <c r="D9" s="1338"/>
      <c r="E9" s="1730"/>
      <c r="F9" s="1339"/>
      <c r="G9" s="1339"/>
      <c r="H9" s="1731"/>
    </row>
    <row r="10" spans="1:8" s="1337" customFormat="1" ht="20.100000000000001" customHeight="1" thickBot="1">
      <c r="A10" s="1329" t="s">
        <v>48</v>
      </c>
      <c r="B10" s="1330" t="s">
        <v>2188</v>
      </c>
      <c r="C10" s="1458"/>
      <c r="D10" s="1459"/>
      <c r="E10" s="1460">
        <f>SUM(E11:E17)</f>
        <v>2137186</v>
      </c>
      <c r="F10" s="1460">
        <f>SUM(F11:F17)</f>
        <v>895376</v>
      </c>
      <c r="G10" s="1460">
        <f>SUM(G11:G17)</f>
        <v>0</v>
      </c>
      <c r="H10" s="1460">
        <f>SUM(H11:H17)</f>
        <v>0</v>
      </c>
    </row>
    <row r="11" spans="1:8" s="1337" customFormat="1" ht="39.75" customHeight="1">
      <c r="A11" s="1727" t="s">
        <v>178</v>
      </c>
      <c r="B11" s="1728" t="s">
        <v>2189</v>
      </c>
      <c r="C11" s="1729">
        <v>2010</v>
      </c>
      <c r="D11" s="1338">
        <v>2030</v>
      </c>
      <c r="E11" s="1730">
        <v>200000</v>
      </c>
      <c r="F11" s="1339">
        <v>194202</v>
      </c>
      <c r="G11" s="1339">
        <v>0</v>
      </c>
      <c r="H11" s="1731">
        <v>0</v>
      </c>
    </row>
    <row r="12" spans="1:8" s="1337" customFormat="1" ht="25.5" customHeight="1">
      <c r="A12" s="1727" t="s">
        <v>74</v>
      </c>
      <c r="B12" s="1728" t="s">
        <v>2189</v>
      </c>
      <c r="C12" s="1729">
        <v>2011</v>
      </c>
      <c r="D12" s="1338">
        <v>2031</v>
      </c>
      <c r="E12" s="1730">
        <v>500000</v>
      </c>
      <c r="F12" s="1339">
        <v>80000</v>
      </c>
      <c r="G12" s="1339">
        <v>0</v>
      </c>
      <c r="H12" s="1731">
        <v>0</v>
      </c>
    </row>
    <row r="13" spans="1:8" s="1337" customFormat="1" ht="25.5" customHeight="1">
      <c r="A13" s="1727" t="s">
        <v>205</v>
      </c>
      <c r="B13" s="1728"/>
      <c r="C13" s="1729"/>
      <c r="D13" s="1338"/>
      <c r="E13" s="1730"/>
      <c r="F13" s="1339"/>
      <c r="G13" s="1339"/>
      <c r="H13" s="1731"/>
    </row>
    <row r="14" spans="1:8" s="1337" customFormat="1" ht="20.100000000000001" customHeight="1">
      <c r="A14" s="1727" t="s">
        <v>79</v>
      </c>
      <c r="B14" s="1728" t="s">
        <v>2190</v>
      </c>
      <c r="C14" s="1729">
        <v>2007</v>
      </c>
      <c r="D14" s="1338">
        <v>2027</v>
      </c>
      <c r="E14" s="1730">
        <v>486077</v>
      </c>
      <c r="F14" s="1339">
        <v>487453</v>
      </c>
      <c r="G14" s="1730">
        <v>0</v>
      </c>
      <c r="H14" s="1339">
        <v>0</v>
      </c>
    </row>
    <row r="15" spans="1:8" s="1337" customFormat="1" ht="20.100000000000001" customHeight="1" thickBot="1">
      <c r="A15" s="1463" t="s">
        <v>80</v>
      </c>
      <c r="B15" s="1728" t="s">
        <v>2191</v>
      </c>
      <c r="C15" s="1729">
        <v>2008</v>
      </c>
      <c r="D15" s="1338">
        <v>2027</v>
      </c>
      <c r="E15" s="1730">
        <v>869859</v>
      </c>
      <c r="F15" s="1339">
        <v>56471</v>
      </c>
      <c r="G15" s="1339">
        <v>0</v>
      </c>
      <c r="H15" s="1731">
        <v>0</v>
      </c>
    </row>
    <row r="16" spans="1:8" s="1337" customFormat="1" ht="30.75" customHeight="1" thickBot="1">
      <c r="A16" s="1464" t="s">
        <v>85</v>
      </c>
      <c r="B16" s="1728" t="s">
        <v>2075</v>
      </c>
      <c r="C16" s="1729" t="s">
        <v>2192</v>
      </c>
      <c r="D16" s="1338">
        <v>2028</v>
      </c>
      <c r="E16" s="1730">
        <v>81250</v>
      </c>
      <c r="F16" s="1339">
        <v>77250</v>
      </c>
      <c r="G16" s="1339">
        <v>0</v>
      </c>
      <c r="H16" s="1731">
        <v>0</v>
      </c>
    </row>
    <row r="17" spans="1:8" s="1337" customFormat="1" ht="20.100000000000001" customHeight="1" thickBot="1">
      <c r="A17" s="1464" t="s">
        <v>98</v>
      </c>
      <c r="B17" s="1728"/>
      <c r="C17" s="1729"/>
      <c r="D17" s="1338"/>
      <c r="E17" s="1730"/>
      <c r="F17" s="1339"/>
      <c r="G17" s="1339"/>
      <c r="H17" s="1731"/>
    </row>
    <row r="18" spans="1:8" s="1472" customFormat="1" ht="20.100000000000001" customHeight="1" thickBot="1">
      <c r="A18" s="1465" t="s">
        <v>99</v>
      </c>
      <c r="B18" s="1466" t="s">
        <v>2193</v>
      </c>
      <c r="C18" s="1467"/>
      <c r="D18" s="1468"/>
      <c r="E18" s="1469">
        <f>E5+E10</f>
        <v>2137186</v>
      </c>
      <c r="F18" s="1470">
        <f>F5+F10</f>
        <v>895376</v>
      </c>
      <c r="G18" s="1470">
        <f>G5+G10</f>
        <v>0</v>
      </c>
      <c r="H18" s="1471">
        <f>H5+H10</f>
        <v>0</v>
      </c>
    </row>
    <row r="19" spans="1:8" ht="20.100000000000001" customHeight="1"/>
  </sheetData>
  <mergeCells count="4">
    <mergeCell ref="A2:A3"/>
    <mergeCell ref="B2:B3"/>
    <mergeCell ref="C2:C3"/>
    <mergeCell ref="D2:D3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firstPageNumber="127" orientation="landscape" horizontalDpi="300" verticalDpi="300" r:id="rId1"/>
  <headerFooter alignWithMargins="0">
    <oddHeader>&amp;C&amp;"Times New Roman CE,Félkövér"&amp;12Vecsés Város Önkormányzat által nyújtott hitel és kölcsön alakulása
 lejárat és eszközök szerinti bontásban&amp;R&amp;"Times New Roman CE,Félkövér dőlt"&amp;11 12.számú melléklet</oddHeader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9"/>
  <sheetViews>
    <sheetView view="pageBreakPreview" topLeftCell="A40" zoomScaleSheetLayoutView="100" workbookViewId="0">
      <selection activeCell="E5" sqref="E5"/>
    </sheetView>
  </sheetViews>
  <sheetFormatPr defaultRowHeight="12.75"/>
  <cols>
    <col min="1" max="1" width="3.5" style="1473" customWidth="1"/>
    <col min="2" max="2" width="2.83203125" style="1473" customWidth="1"/>
    <col min="3" max="3" width="3" style="1473" customWidth="1"/>
    <col min="4" max="4" width="73.33203125" style="1473" customWidth="1"/>
    <col min="5" max="5" width="22" style="1253" customWidth="1"/>
    <col min="6" max="6" width="9.33203125" style="1473"/>
    <col min="7" max="7" width="17.1640625" style="1473" bestFit="1" customWidth="1"/>
    <col min="8" max="256" width="9.33203125" style="1473"/>
    <col min="257" max="257" width="3.5" style="1473" customWidth="1"/>
    <col min="258" max="258" width="2.83203125" style="1473" customWidth="1"/>
    <col min="259" max="259" width="3" style="1473" customWidth="1"/>
    <col min="260" max="260" width="73.33203125" style="1473" customWidth="1"/>
    <col min="261" max="261" width="22" style="1473" customWidth="1"/>
    <col min="262" max="512" width="9.33203125" style="1473"/>
    <col min="513" max="513" width="3.5" style="1473" customWidth="1"/>
    <col min="514" max="514" width="2.83203125" style="1473" customWidth="1"/>
    <col min="515" max="515" width="3" style="1473" customWidth="1"/>
    <col min="516" max="516" width="73.33203125" style="1473" customWidth="1"/>
    <col min="517" max="517" width="22" style="1473" customWidth="1"/>
    <col min="518" max="768" width="9.33203125" style="1473"/>
    <col min="769" max="769" width="3.5" style="1473" customWidth="1"/>
    <col min="770" max="770" width="2.83203125" style="1473" customWidth="1"/>
    <col min="771" max="771" width="3" style="1473" customWidth="1"/>
    <col min="772" max="772" width="73.33203125" style="1473" customWidth="1"/>
    <col min="773" max="773" width="22" style="1473" customWidth="1"/>
    <col min="774" max="1024" width="9.33203125" style="1473"/>
    <col min="1025" max="1025" width="3.5" style="1473" customWidth="1"/>
    <col min="1026" max="1026" width="2.83203125" style="1473" customWidth="1"/>
    <col min="1027" max="1027" width="3" style="1473" customWidth="1"/>
    <col min="1028" max="1028" width="73.33203125" style="1473" customWidth="1"/>
    <col min="1029" max="1029" width="22" style="1473" customWidth="1"/>
    <col min="1030" max="1280" width="9.33203125" style="1473"/>
    <col min="1281" max="1281" width="3.5" style="1473" customWidth="1"/>
    <col min="1282" max="1282" width="2.83203125" style="1473" customWidth="1"/>
    <col min="1283" max="1283" width="3" style="1473" customWidth="1"/>
    <col min="1284" max="1284" width="73.33203125" style="1473" customWidth="1"/>
    <col min="1285" max="1285" width="22" style="1473" customWidth="1"/>
    <col min="1286" max="1536" width="9.33203125" style="1473"/>
    <col min="1537" max="1537" width="3.5" style="1473" customWidth="1"/>
    <col min="1538" max="1538" width="2.83203125" style="1473" customWidth="1"/>
    <col min="1539" max="1539" width="3" style="1473" customWidth="1"/>
    <col min="1540" max="1540" width="73.33203125" style="1473" customWidth="1"/>
    <col min="1541" max="1541" width="22" style="1473" customWidth="1"/>
    <col min="1542" max="1792" width="9.33203125" style="1473"/>
    <col min="1793" max="1793" width="3.5" style="1473" customWidth="1"/>
    <col min="1794" max="1794" width="2.83203125" style="1473" customWidth="1"/>
    <col min="1795" max="1795" width="3" style="1473" customWidth="1"/>
    <col min="1796" max="1796" width="73.33203125" style="1473" customWidth="1"/>
    <col min="1797" max="1797" width="22" style="1473" customWidth="1"/>
    <col min="1798" max="2048" width="9.33203125" style="1473"/>
    <col min="2049" max="2049" width="3.5" style="1473" customWidth="1"/>
    <col min="2050" max="2050" width="2.83203125" style="1473" customWidth="1"/>
    <col min="2051" max="2051" width="3" style="1473" customWidth="1"/>
    <col min="2052" max="2052" width="73.33203125" style="1473" customWidth="1"/>
    <col min="2053" max="2053" width="22" style="1473" customWidth="1"/>
    <col min="2054" max="2304" width="9.33203125" style="1473"/>
    <col min="2305" max="2305" width="3.5" style="1473" customWidth="1"/>
    <col min="2306" max="2306" width="2.83203125" style="1473" customWidth="1"/>
    <col min="2307" max="2307" width="3" style="1473" customWidth="1"/>
    <col min="2308" max="2308" width="73.33203125" style="1473" customWidth="1"/>
    <col min="2309" max="2309" width="22" style="1473" customWidth="1"/>
    <col min="2310" max="2560" width="9.33203125" style="1473"/>
    <col min="2561" max="2561" width="3.5" style="1473" customWidth="1"/>
    <col min="2562" max="2562" width="2.83203125" style="1473" customWidth="1"/>
    <col min="2563" max="2563" width="3" style="1473" customWidth="1"/>
    <col min="2564" max="2564" width="73.33203125" style="1473" customWidth="1"/>
    <col min="2565" max="2565" width="22" style="1473" customWidth="1"/>
    <col min="2566" max="2816" width="9.33203125" style="1473"/>
    <col min="2817" max="2817" width="3.5" style="1473" customWidth="1"/>
    <col min="2818" max="2818" width="2.83203125" style="1473" customWidth="1"/>
    <col min="2819" max="2819" width="3" style="1473" customWidth="1"/>
    <col min="2820" max="2820" width="73.33203125" style="1473" customWidth="1"/>
    <col min="2821" max="2821" width="22" style="1473" customWidth="1"/>
    <col min="2822" max="3072" width="9.33203125" style="1473"/>
    <col min="3073" max="3073" width="3.5" style="1473" customWidth="1"/>
    <col min="3074" max="3074" width="2.83203125" style="1473" customWidth="1"/>
    <col min="3075" max="3075" width="3" style="1473" customWidth="1"/>
    <col min="3076" max="3076" width="73.33203125" style="1473" customWidth="1"/>
    <col min="3077" max="3077" width="22" style="1473" customWidth="1"/>
    <col min="3078" max="3328" width="9.33203125" style="1473"/>
    <col min="3329" max="3329" width="3.5" style="1473" customWidth="1"/>
    <col min="3330" max="3330" width="2.83203125" style="1473" customWidth="1"/>
    <col min="3331" max="3331" width="3" style="1473" customWidth="1"/>
    <col min="3332" max="3332" width="73.33203125" style="1473" customWidth="1"/>
    <col min="3333" max="3333" width="22" style="1473" customWidth="1"/>
    <col min="3334" max="3584" width="9.33203125" style="1473"/>
    <col min="3585" max="3585" width="3.5" style="1473" customWidth="1"/>
    <col min="3586" max="3586" width="2.83203125" style="1473" customWidth="1"/>
    <col min="3587" max="3587" width="3" style="1473" customWidth="1"/>
    <col min="3588" max="3588" width="73.33203125" style="1473" customWidth="1"/>
    <col min="3589" max="3589" width="22" style="1473" customWidth="1"/>
    <col min="3590" max="3840" width="9.33203125" style="1473"/>
    <col min="3841" max="3841" width="3.5" style="1473" customWidth="1"/>
    <col min="3842" max="3842" width="2.83203125" style="1473" customWidth="1"/>
    <col min="3843" max="3843" width="3" style="1473" customWidth="1"/>
    <col min="3844" max="3844" width="73.33203125" style="1473" customWidth="1"/>
    <col min="3845" max="3845" width="22" style="1473" customWidth="1"/>
    <col min="3846" max="4096" width="9.33203125" style="1473"/>
    <col min="4097" max="4097" width="3.5" style="1473" customWidth="1"/>
    <col min="4098" max="4098" width="2.83203125" style="1473" customWidth="1"/>
    <col min="4099" max="4099" width="3" style="1473" customWidth="1"/>
    <col min="4100" max="4100" width="73.33203125" style="1473" customWidth="1"/>
    <col min="4101" max="4101" width="22" style="1473" customWidth="1"/>
    <col min="4102" max="4352" width="9.33203125" style="1473"/>
    <col min="4353" max="4353" width="3.5" style="1473" customWidth="1"/>
    <col min="4354" max="4354" width="2.83203125" style="1473" customWidth="1"/>
    <col min="4355" max="4355" width="3" style="1473" customWidth="1"/>
    <col min="4356" max="4356" width="73.33203125" style="1473" customWidth="1"/>
    <col min="4357" max="4357" width="22" style="1473" customWidth="1"/>
    <col min="4358" max="4608" width="9.33203125" style="1473"/>
    <col min="4609" max="4609" width="3.5" style="1473" customWidth="1"/>
    <col min="4610" max="4610" width="2.83203125" style="1473" customWidth="1"/>
    <col min="4611" max="4611" width="3" style="1473" customWidth="1"/>
    <col min="4612" max="4612" width="73.33203125" style="1473" customWidth="1"/>
    <col min="4613" max="4613" width="22" style="1473" customWidth="1"/>
    <col min="4614" max="4864" width="9.33203125" style="1473"/>
    <col min="4865" max="4865" width="3.5" style="1473" customWidth="1"/>
    <col min="4866" max="4866" width="2.83203125" style="1473" customWidth="1"/>
    <col min="4867" max="4867" width="3" style="1473" customWidth="1"/>
    <col min="4868" max="4868" width="73.33203125" style="1473" customWidth="1"/>
    <col min="4869" max="4869" width="22" style="1473" customWidth="1"/>
    <col min="4870" max="5120" width="9.33203125" style="1473"/>
    <col min="5121" max="5121" width="3.5" style="1473" customWidth="1"/>
    <col min="5122" max="5122" width="2.83203125" style="1473" customWidth="1"/>
    <col min="5123" max="5123" width="3" style="1473" customWidth="1"/>
    <col min="5124" max="5124" width="73.33203125" style="1473" customWidth="1"/>
    <col min="5125" max="5125" width="22" style="1473" customWidth="1"/>
    <col min="5126" max="5376" width="9.33203125" style="1473"/>
    <col min="5377" max="5377" width="3.5" style="1473" customWidth="1"/>
    <col min="5378" max="5378" width="2.83203125" style="1473" customWidth="1"/>
    <col min="5379" max="5379" width="3" style="1473" customWidth="1"/>
    <col min="5380" max="5380" width="73.33203125" style="1473" customWidth="1"/>
    <col min="5381" max="5381" width="22" style="1473" customWidth="1"/>
    <col min="5382" max="5632" width="9.33203125" style="1473"/>
    <col min="5633" max="5633" width="3.5" style="1473" customWidth="1"/>
    <col min="5634" max="5634" width="2.83203125" style="1473" customWidth="1"/>
    <col min="5635" max="5635" width="3" style="1473" customWidth="1"/>
    <col min="5636" max="5636" width="73.33203125" style="1473" customWidth="1"/>
    <col min="5637" max="5637" width="22" style="1473" customWidth="1"/>
    <col min="5638" max="5888" width="9.33203125" style="1473"/>
    <col min="5889" max="5889" width="3.5" style="1473" customWidth="1"/>
    <col min="5890" max="5890" width="2.83203125" style="1473" customWidth="1"/>
    <col min="5891" max="5891" width="3" style="1473" customWidth="1"/>
    <col min="5892" max="5892" width="73.33203125" style="1473" customWidth="1"/>
    <col min="5893" max="5893" width="22" style="1473" customWidth="1"/>
    <col min="5894" max="6144" width="9.33203125" style="1473"/>
    <col min="6145" max="6145" width="3.5" style="1473" customWidth="1"/>
    <col min="6146" max="6146" width="2.83203125" style="1473" customWidth="1"/>
    <col min="6147" max="6147" width="3" style="1473" customWidth="1"/>
    <col min="6148" max="6148" width="73.33203125" style="1473" customWidth="1"/>
    <col min="6149" max="6149" width="22" style="1473" customWidth="1"/>
    <col min="6150" max="6400" width="9.33203125" style="1473"/>
    <col min="6401" max="6401" width="3.5" style="1473" customWidth="1"/>
    <col min="6402" max="6402" width="2.83203125" style="1473" customWidth="1"/>
    <col min="6403" max="6403" width="3" style="1473" customWidth="1"/>
    <col min="6404" max="6404" width="73.33203125" style="1473" customWidth="1"/>
    <col min="6405" max="6405" width="22" style="1473" customWidth="1"/>
    <col min="6406" max="6656" width="9.33203125" style="1473"/>
    <col min="6657" max="6657" width="3.5" style="1473" customWidth="1"/>
    <col min="6658" max="6658" width="2.83203125" style="1473" customWidth="1"/>
    <col min="6659" max="6659" width="3" style="1473" customWidth="1"/>
    <col min="6660" max="6660" width="73.33203125" style="1473" customWidth="1"/>
    <col min="6661" max="6661" width="22" style="1473" customWidth="1"/>
    <col min="6662" max="6912" width="9.33203125" style="1473"/>
    <col min="6913" max="6913" width="3.5" style="1473" customWidth="1"/>
    <col min="6914" max="6914" width="2.83203125" style="1473" customWidth="1"/>
    <col min="6915" max="6915" width="3" style="1473" customWidth="1"/>
    <col min="6916" max="6916" width="73.33203125" style="1473" customWidth="1"/>
    <col min="6917" max="6917" width="22" style="1473" customWidth="1"/>
    <col min="6918" max="7168" width="9.33203125" style="1473"/>
    <col min="7169" max="7169" width="3.5" style="1473" customWidth="1"/>
    <col min="7170" max="7170" width="2.83203125" style="1473" customWidth="1"/>
    <col min="7171" max="7171" width="3" style="1473" customWidth="1"/>
    <col min="7172" max="7172" width="73.33203125" style="1473" customWidth="1"/>
    <col min="7173" max="7173" width="22" style="1473" customWidth="1"/>
    <col min="7174" max="7424" width="9.33203125" style="1473"/>
    <col min="7425" max="7425" width="3.5" style="1473" customWidth="1"/>
    <col min="7426" max="7426" width="2.83203125" style="1473" customWidth="1"/>
    <col min="7427" max="7427" width="3" style="1473" customWidth="1"/>
    <col min="7428" max="7428" width="73.33203125" style="1473" customWidth="1"/>
    <col min="7429" max="7429" width="22" style="1473" customWidth="1"/>
    <col min="7430" max="7680" width="9.33203125" style="1473"/>
    <col min="7681" max="7681" width="3.5" style="1473" customWidth="1"/>
    <col min="7682" max="7682" width="2.83203125" style="1473" customWidth="1"/>
    <col min="7683" max="7683" width="3" style="1473" customWidth="1"/>
    <col min="7684" max="7684" width="73.33203125" style="1473" customWidth="1"/>
    <col min="7685" max="7685" width="22" style="1473" customWidth="1"/>
    <col min="7686" max="7936" width="9.33203125" style="1473"/>
    <col min="7937" max="7937" width="3.5" style="1473" customWidth="1"/>
    <col min="7938" max="7938" width="2.83203125" style="1473" customWidth="1"/>
    <col min="7939" max="7939" width="3" style="1473" customWidth="1"/>
    <col min="7940" max="7940" width="73.33203125" style="1473" customWidth="1"/>
    <col min="7941" max="7941" width="22" style="1473" customWidth="1"/>
    <col min="7942" max="8192" width="9.33203125" style="1473"/>
    <col min="8193" max="8193" width="3.5" style="1473" customWidth="1"/>
    <col min="8194" max="8194" width="2.83203125" style="1473" customWidth="1"/>
    <col min="8195" max="8195" width="3" style="1473" customWidth="1"/>
    <col min="8196" max="8196" width="73.33203125" style="1473" customWidth="1"/>
    <col min="8197" max="8197" width="22" style="1473" customWidth="1"/>
    <col min="8198" max="8448" width="9.33203125" style="1473"/>
    <col min="8449" max="8449" width="3.5" style="1473" customWidth="1"/>
    <col min="8450" max="8450" width="2.83203125" style="1473" customWidth="1"/>
    <col min="8451" max="8451" width="3" style="1473" customWidth="1"/>
    <col min="8452" max="8452" width="73.33203125" style="1473" customWidth="1"/>
    <col min="8453" max="8453" width="22" style="1473" customWidth="1"/>
    <col min="8454" max="8704" width="9.33203125" style="1473"/>
    <col min="8705" max="8705" width="3.5" style="1473" customWidth="1"/>
    <col min="8706" max="8706" width="2.83203125" style="1473" customWidth="1"/>
    <col min="8707" max="8707" width="3" style="1473" customWidth="1"/>
    <col min="8708" max="8708" width="73.33203125" style="1473" customWidth="1"/>
    <col min="8709" max="8709" width="22" style="1473" customWidth="1"/>
    <col min="8710" max="8960" width="9.33203125" style="1473"/>
    <col min="8961" max="8961" width="3.5" style="1473" customWidth="1"/>
    <col min="8962" max="8962" width="2.83203125" style="1473" customWidth="1"/>
    <col min="8963" max="8963" width="3" style="1473" customWidth="1"/>
    <col min="8964" max="8964" width="73.33203125" style="1473" customWidth="1"/>
    <col min="8965" max="8965" width="22" style="1473" customWidth="1"/>
    <col min="8966" max="9216" width="9.33203125" style="1473"/>
    <col min="9217" max="9217" width="3.5" style="1473" customWidth="1"/>
    <col min="9218" max="9218" width="2.83203125" style="1473" customWidth="1"/>
    <col min="9219" max="9219" width="3" style="1473" customWidth="1"/>
    <col min="9220" max="9220" width="73.33203125" style="1473" customWidth="1"/>
    <col min="9221" max="9221" width="22" style="1473" customWidth="1"/>
    <col min="9222" max="9472" width="9.33203125" style="1473"/>
    <col min="9473" max="9473" width="3.5" style="1473" customWidth="1"/>
    <col min="9474" max="9474" width="2.83203125" style="1473" customWidth="1"/>
    <col min="9475" max="9475" width="3" style="1473" customWidth="1"/>
    <col min="9476" max="9476" width="73.33203125" style="1473" customWidth="1"/>
    <col min="9477" max="9477" width="22" style="1473" customWidth="1"/>
    <col min="9478" max="9728" width="9.33203125" style="1473"/>
    <col min="9729" max="9729" width="3.5" style="1473" customWidth="1"/>
    <col min="9730" max="9730" width="2.83203125" style="1473" customWidth="1"/>
    <col min="9731" max="9731" width="3" style="1473" customWidth="1"/>
    <col min="9732" max="9732" width="73.33203125" style="1473" customWidth="1"/>
    <col min="9733" max="9733" width="22" style="1473" customWidth="1"/>
    <col min="9734" max="9984" width="9.33203125" style="1473"/>
    <col min="9985" max="9985" width="3.5" style="1473" customWidth="1"/>
    <col min="9986" max="9986" width="2.83203125" style="1473" customWidth="1"/>
    <col min="9987" max="9987" width="3" style="1473" customWidth="1"/>
    <col min="9988" max="9988" width="73.33203125" style="1473" customWidth="1"/>
    <col min="9989" max="9989" width="22" style="1473" customWidth="1"/>
    <col min="9990" max="10240" width="9.33203125" style="1473"/>
    <col min="10241" max="10241" width="3.5" style="1473" customWidth="1"/>
    <col min="10242" max="10242" width="2.83203125" style="1473" customWidth="1"/>
    <col min="10243" max="10243" width="3" style="1473" customWidth="1"/>
    <col min="10244" max="10244" width="73.33203125" style="1473" customWidth="1"/>
    <col min="10245" max="10245" width="22" style="1473" customWidth="1"/>
    <col min="10246" max="10496" width="9.33203125" style="1473"/>
    <col min="10497" max="10497" width="3.5" style="1473" customWidth="1"/>
    <col min="10498" max="10498" width="2.83203125" style="1473" customWidth="1"/>
    <col min="10499" max="10499" width="3" style="1473" customWidth="1"/>
    <col min="10500" max="10500" width="73.33203125" style="1473" customWidth="1"/>
    <col min="10501" max="10501" width="22" style="1473" customWidth="1"/>
    <col min="10502" max="10752" width="9.33203125" style="1473"/>
    <col min="10753" max="10753" width="3.5" style="1473" customWidth="1"/>
    <col min="10754" max="10754" width="2.83203125" style="1473" customWidth="1"/>
    <col min="10755" max="10755" width="3" style="1473" customWidth="1"/>
    <col min="10756" max="10756" width="73.33203125" style="1473" customWidth="1"/>
    <col min="10757" max="10757" width="22" style="1473" customWidth="1"/>
    <col min="10758" max="11008" width="9.33203125" style="1473"/>
    <col min="11009" max="11009" width="3.5" style="1473" customWidth="1"/>
    <col min="11010" max="11010" width="2.83203125" style="1473" customWidth="1"/>
    <col min="11011" max="11011" width="3" style="1473" customWidth="1"/>
    <col min="11012" max="11012" width="73.33203125" style="1473" customWidth="1"/>
    <col min="11013" max="11013" width="22" style="1473" customWidth="1"/>
    <col min="11014" max="11264" width="9.33203125" style="1473"/>
    <col min="11265" max="11265" width="3.5" style="1473" customWidth="1"/>
    <col min="11266" max="11266" width="2.83203125" style="1473" customWidth="1"/>
    <col min="11267" max="11267" width="3" style="1473" customWidth="1"/>
    <col min="11268" max="11268" width="73.33203125" style="1473" customWidth="1"/>
    <col min="11269" max="11269" width="22" style="1473" customWidth="1"/>
    <col min="11270" max="11520" width="9.33203125" style="1473"/>
    <col min="11521" max="11521" width="3.5" style="1473" customWidth="1"/>
    <col min="11522" max="11522" width="2.83203125" style="1473" customWidth="1"/>
    <col min="11523" max="11523" width="3" style="1473" customWidth="1"/>
    <col min="11524" max="11524" width="73.33203125" style="1473" customWidth="1"/>
    <col min="11525" max="11525" width="22" style="1473" customWidth="1"/>
    <col min="11526" max="11776" width="9.33203125" style="1473"/>
    <col min="11777" max="11777" width="3.5" style="1473" customWidth="1"/>
    <col min="11778" max="11778" width="2.83203125" style="1473" customWidth="1"/>
    <col min="11779" max="11779" width="3" style="1473" customWidth="1"/>
    <col min="11780" max="11780" width="73.33203125" style="1473" customWidth="1"/>
    <col min="11781" max="11781" width="22" style="1473" customWidth="1"/>
    <col min="11782" max="12032" width="9.33203125" style="1473"/>
    <col min="12033" max="12033" width="3.5" style="1473" customWidth="1"/>
    <col min="12034" max="12034" width="2.83203125" style="1473" customWidth="1"/>
    <col min="12035" max="12035" width="3" style="1473" customWidth="1"/>
    <col min="12036" max="12036" width="73.33203125" style="1473" customWidth="1"/>
    <col min="12037" max="12037" width="22" style="1473" customWidth="1"/>
    <col min="12038" max="12288" width="9.33203125" style="1473"/>
    <col min="12289" max="12289" width="3.5" style="1473" customWidth="1"/>
    <col min="12290" max="12290" width="2.83203125" style="1473" customWidth="1"/>
    <col min="12291" max="12291" width="3" style="1473" customWidth="1"/>
    <col min="12292" max="12292" width="73.33203125" style="1473" customWidth="1"/>
    <col min="12293" max="12293" width="22" style="1473" customWidth="1"/>
    <col min="12294" max="12544" width="9.33203125" style="1473"/>
    <col min="12545" max="12545" width="3.5" style="1473" customWidth="1"/>
    <col min="12546" max="12546" width="2.83203125" style="1473" customWidth="1"/>
    <col min="12547" max="12547" width="3" style="1473" customWidth="1"/>
    <col min="12548" max="12548" width="73.33203125" style="1473" customWidth="1"/>
    <col min="12549" max="12549" width="22" style="1473" customWidth="1"/>
    <col min="12550" max="12800" width="9.33203125" style="1473"/>
    <col min="12801" max="12801" width="3.5" style="1473" customWidth="1"/>
    <col min="12802" max="12802" width="2.83203125" style="1473" customWidth="1"/>
    <col min="12803" max="12803" width="3" style="1473" customWidth="1"/>
    <col min="12804" max="12804" width="73.33203125" style="1473" customWidth="1"/>
    <col min="12805" max="12805" width="22" style="1473" customWidth="1"/>
    <col min="12806" max="13056" width="9.33203125" style="1473"/>
    <col min="13057" max="13057" width="3.5" style="1473" customWidth="1"/>
    <col min="13058" max="13058" width="2.83203125" style="1473" customWidth="1"/>
    <col min="13059" max="13059" width="3" style="1473" customWidth="1"/>
    <col min="13060" max="13060" width="73.33203125" style="1473" customWidth="1"/>
    <col min="13061" max="13061" width="22" style="1473" customWidth="1"/>
    <col min="13062" max="13312" width="9.33203125" style="1473"/>
    <col min="13313" max="13313" width="3.5" style="1473" customWidth="1"/>
    <col min="13314" max="13314" width="2.83203125" style="1473" customWidth="1"/>
    <col min="13315" max="13315" width="3" style="1473" customWidth="1"/>
    <col min="13316" max="13316" width="73.33203125" style="1473" customWidth="1"/>
    <col min="13317" max="13317" width="22" style="1473" customWidth="1"/>
    <col min="13318" max="13568" width="9.33203125" style="1473"/>
    <col min="13569" max="13569" width="3.5" style="1473" customWidth="1"/>
    <col min="13570" max="13570" width="2.83203125" style="1473" customWidth="1"/>
    <col min="13571" max="13571" width="3" style="1473" customWidth="1"/>
    <col min="13572" max="13572" width="73.33203125" style="1473" customWidth="1"/>
    <col min="13573" max="13573" width="22" style="1473" customWidth="1"/>
    <col min="13574" max="13824" width="9.33203125" style="1473"/>
    <col min="13825" max="13825" width="3.5" style="1473" customWidth="1"/>
    <col min="13826" max="13826" width="2.83203125" style="1473" customWidth="1"/>
    <col min="13827" max="13827" width="3" style="1473" customWidth="1"/>
    <col min="13828" max="13828" width="73.33203125" style="1473" customWidth="1"/>
    <col min="13829" max="13829" width="22" style="1473" customWidth="1"/>
    <col min="13830" max="14080" width="9.33203125" style="1473"/>
    <col min="14081" max="14081" width="3.5" style="1473" customWidth="1"/>
    <col min="14082" max="14082" width="2.83203125" style="1473" customWidth="1"/>
    <col min="14083" max="14083" width="3" style="1473" customWidth="1"/>
    <col min="14084" max="14084" width="73.33203125" style="1473" customWidth="1"/>
    <col min="14085" max="14085" width="22" style="1473" customWidth="1"/>
    <col min="14086" max="14336" width="9.33203125" style="1473"/>
    <col min="14337" max="14337" width="3.5" style="1473" customWidth="1"/>
    <col min="14338" max="14338" width="2.83203125" style="1473" customWidth="1"/>
    <col min="14339" max="14339" width="3" style="1473" customWidth="1"/>
    <col min="14340" max="14340" width="73.33203125" style="1473" customWidth="1"/>
    <col min="14341" max="14341" width="22" style="1473" customWidth="1"/>
    <col min="14342" max="14592" width="9.33203125" style="1473"/>
    <col min="14593" max="14593" width="3.5" style="1473" customWidth="1"/>
    <col min="14594" max="14594" width="2.83203125" style="1473" customWidth="1"/>
    <col min="14595" max="14595" width="3" style="1473" customWidth="1"/>
    <col min="14596" max="14596" width="73.33203125" style="1473" customWidth="1"/>
    <col min="14597" max="14597" width="22" style="1473" customWidth="1"/>
    <col min="14598" max="14848" width="9.33203125" style="1473"/>
    <col min="14849" max="14849" width="3.5" style="1473" customWidth="1"/>
    <col min="14850" max="14850" width="2.83203125" style="1473" customWidth="1"/>
    <col min="14851" max="14851" width="3" style="1473" customWidth="1"/>
    <col min="14852" max="14852" width="73.33203125" style="1473" customWidth="1"/>
    <col min="14853" max="14853" width="22" style="1473" customWidth="1"/>
    <col min="14854" max="15104" width="9.33203125" style="1473"/>
    <col min="15105" max="15105" width="3.5" style="1473" customWidth="1"/>
    <col min="15106" max="15106" width="2.83203125" style="1473" customWidth="1"/>
    <col min="15107" max="15107" width="3" style="1473" customWidth="1"/>
    <col min="15108" max="15108" width="73.33203125" style="1473" customWidth="1"/>
    <col min="15109" max="15109" width="22" style="1473" customWidth="1"/>
    <col min="15110" max="15360" width="9.33203125" style="1473"/>
    <col min="15361" max="15361" width="3.5" style="1473" customWidth="1"/>
    <col min="15362" max="15362" width="2.83203125" style="1473" customWidth="1"/>
    <col min="15363" max="15363" width="3" style="1473" customWidth="1"/>
    <col min="15364" max="15364" width="73.33203125" style="1473" customWidth="1"/>
    <col min="15365" max="15365" width="22" style="1473" customWidth="1"/>
    <col min="15366" max="15616" width="9.33203125" style="1473"/>
    <col min="15617" max="15617" width="3.5" style="1473" customWidth="1"/>
    <col min="15618" max="15618" width="2.83203125" style="1473" customWidth="1"/>
    <col min="15619" max="15619" width="3" style="1473" customWidth="1"/>
    <col min="15620" max="15620" width="73.33203125" style="1473" customWidth="1"/>
    <col min="15621" max="15621" width="22" style="1473" customWidth="1"/>
    <col min="15622" max="15872" width="9.33203125" style="1473"/>
    <col min="15873" max="15873" width="3.5" style="1473" customWidth="1"/>
    <col min="15874" max="15874" width="2.83203125" style="1473" customWidth="1"/>
    <col min="15875" max="15875" width="3" style="1473" customWidth="1"/>
    <col min="15876" max="15876" width="73.33203125" style="1473" customWidth="1"/>
    <col min="15877" max="15877" width="22" style="1473" customWidth="1"/>
    <col min="15878" max="16128" width="9.33203125" style="1473"/>
    <col min="16129" max="16129" width="3.5" style="1473" customWidth="1"/>
    <col min="16130" max="16130" width="2.83203125" style="1473" customWidth="1"/>
    <col min="16131" max="16131" width="3" style="1473" customWidth="1"/>
    <col min="16132" max="16132" width="73.33203125" style="1473" customWidth="1"/>
    <col min="16133" max="16133" width="22" style="1473" customWidth="1"/>
    <col min="16134" max="16384" width="9.33203125" style="1473"/>
  </cols>
  <sheetData>
    <row r="1" spans="1:5" ht="22.5" customHeight="1">
      <c r="A1" s="1490" t="s">
        <v>2254</v>
      </c>
      <c r="B1" s="1490"/>
      <c r="C1" s="1490"/>
      <c r="D1" s="1490"/>
      <c r="E1" s="1491">
        <v>1028758206</v>
      </c>
    </row>
    <row r="3" spans="1:5" ht="28.5" customHeight="1" thickTop="1" thickBot="1">
      <c r="A3" s="2002" t="s">
        <v>318</v>
      </c>
      <c r="B3" s="2002"/>
      <c r="C3" s="2002"/>
      <c r="D3" s="1492" t="s">
        <v>198</v>
      </c>
      <c r="E3" s="1493" t="s">
        <v>2235</v>
      </c>
    </row>
    <row r="4" spans="1:5" ht="34.5" customHeight="1" thickTop="1" thickBot="1">
      <c r="A4" s="1494" t="s">
        <v>927</v>
      </c>
      <c r="B4" s="1495"/>
      <c r="C4" s="1495"/>
      <c r="D4" s="2003" t="s">
        <v>2236</v>
      </c>
      <c r="E4" s="2003"/>
    </row>
    <row r="5" spans="1:5" ht="21.75" customHeight="1" thickTop="1">
      <c r="A5" s="1496"/>
      <c r="B5" s="1497" t="s">
        <v>4</v>
      </c>
      <c r="C5" s="1497"/>
      <c r="D5" s="1498" t="s">
        <v>2237</v>
      </c>
      <c r="E5" s="1499">
        <v>3267907</v>
      </c>
    </row>
    <row r="6" spans="1:5" ht="21.75" customHeight="1">
      <c r="A6" s="1496"/>
      <c r="B6" s="1497" t="s">
        <v>5</v>
      </c>
      <c r="C6" s="1497"/>
      <c r="D6" s="1498" t="s">
        <v>2238</v>
      </c>
      <c r="E6" s="1499">
        <v>0</v>
      </c>
    </row>
    <row r="7" spans="1:5" ht="21.75" customHeight="1">
      <c r="A7" s="1500"/>
      <c r="B7" s="1497" t="s">
        <v>19</v>
      </c>
      <c r="C7" s="1501"/>
      <c r="D7" s="1582" t="s">
        <v>2267</v>
      </c>
      <c r="E7" s="1583">
        <v>28731076</v>
      </c>
    </row>
    <row r="8" spans="1:5" ht="21.75" customHeight="1">
      <c r="A8" s="1500"/>
      <c r="B8" s="1497" t="s">
        <v>149</v>
      </c>
      <c r="C8" s="1501"/>
      <c r="D8" s="1582" t="s">
        <v>2268</v>
      </c>
      <c r="E8" s="1583">
        <v>120000</v>
      </c>
    </row>
    <row r="9" spans="1:5" ht="21.75" customHeight="1">
      <c r="A9" s="1500"/>
      <c r="B9" s="1497" t="s">
        <v>38</v>
      </c>
      <c r="C9" s="1501"/>
      <c r="D9" s="1582" t="s">
        <v>2269</v>
      </c>
      <c r="E9" s="1583">
        <v>627275</v>
      </c>
    </row>
    <row r="10" spans="1:5" ht="21.75" customHeight="1">
      <c r="A10" s="1500"/>
      <c r="B10" s="1497" t="s">
        <v>48</v>
      </c>
      <c r="C10" s="1501"/>
      <c r="D10" s="1587" t="s">
        <v>2270</v>
      </c>
      <c r="E10" s="1586">
        <v>146140238</v>
      </c>
    </row>
    <row r="11" spans="1:5" ht="21.75" customHeight="1">
      <c r="A11" s="1500"/>
      <c r="B11" s="1497" t="s">
        <v>178</v>
      </c>
      <c r="C11" s="1501"/>
      <c r="D11" s="1582" t="s">
        <v>2271</v>
      </c>
      <c r="E11" s="1583">
        <v>101000</v>
      </c>
    </row>
    <row r="12" spans="1:5" ht="21.75" customHeight="1">
      <c r="A12" s="1500"/>
      <c r="B12" s="1497" t="s">
        <v>74</v>
      </c>
      <c r="C12" s="1501"/>
      <c r="D12" s="1582" t="s">
        <v>2272</v>
      </c>
      <c r="E12" s="1583">
        <v>10644000</v>
      </c>
    </row>
    <row r="13" spans="1:5" ht="21.75" customHeight="1">
      <c r="A13" s="1500"/>
      <c r="B13" s="1497" t="s">
        <v>205</v>
      </c>
      <c r="C13" s="1501"/>
      <c r="D13" s="1584" t="s">
        <v>1756</v>
      </c>
      <c r="E13" s="1583">
        <v>2600000</v>
      </c>
    </row>
    <row r="14" spans="1:5" ht="21.75" customHeight="1">
      <c r="A14" s="1500"/>
      <c r="B14" s="1497" t="s">
        <v>79</v>
      </c>
      <c r="C14" s="1501"/>
      <c r="D14" s="1587" t="s">
        <v>2277</v>
      </c>
      <c r="E14" s="1586">
        <v>2000000</v>
      </c>
    </row>
    <row r="15" spans="1:5" ht="21.75" customHeight="1">
      <c r="A15" s="1500"/>
      <c r="B15" s="1497" t="s">
        <v>80</v>
      </c>
      <c r="C15" s="1501"/>
      <c r="D15" s="1587" t="s">
        <v>2278</v>
      </c>
      <c r="E15" s="1583">
        <v>24736547</v>
      </c>
    </row>
    <row r="16" spans="1:5" ht="21.75" customHeight="1">
      <c r="A16" s="1500"/>
      <c r="B16" s="1497" t="s">
        <v>85</v>
      </c>
      <c r="C16" s="1501"/>
      <c r="D16" s="1582" t="s">
        <v>2279</v>
      </c>
      <c r="E16" s="1583">
        <v>6013000</v>
      </c>
    </row>
    <row r="17" spans="1:5" ht="21.75" customHeight="1">
      <c r="A17" s="1500"/>
      <c r="B17" s="1497" t="s">
        <v>98</v>
      </c>
      <c r="C17" s="1501"/>
      <c r="D17" s="1582" t="s">
        <v>2280</v>
      </c>
      <c r="E17" s="1583">
        <v>8890000</v>
      </c>
    </row>
    <row r="18" spans="1:5" ht="21.75" customHeight="1">
      <c r="A18" s="1500"/>
      <c r="B18" s="1497" t="s">
        <v>99</v>
      </c>
      <c r="C18" s="1501"/>
      <c r="D18" s="1582" t="s">
        <v>2281</v>
      </c>
      <c r="E18" s="1583">
        <v>450000</v>
      </c>
    </row>
    <row r="19" spans="1:5" ht="21.75" customHeight="1">
      <c r="A19" s="1500"/>
      <c r="B19" s="1497" t="s">
        <v>210</v>
      </c>
      <c r="C19" s="1501"/>
      <c r="D19" s="1582" t="s">
        <v>2282</v>
      </c>
      <c r="E19" s="1583">
        <v>9300291</v>
      </c>
    </row>
    <row r="20" spans="1:5" ht="21.75" customHeight="1">
      <c r="A20" s="1500"/>
      <c r="B20" s="1497" t="s">
        <v>212</v>
      </c>
      <c r="C20" s="1501"/>
      <c r="D20" s="1582" t="s">
        <v>2283</v>
      </c>
      <c r="E20" s="1583">
        <v>1653000</v>
      </c>
    </row>
    <row r="21" spans="1:5" ht="21.75" customHeight="1">
      <c r="A21" s="1500"/>
      <c r="B21" s="1497" t="s">
        <v>214</v>
      </c>
      <c r="C21" s="1501"/>
      <c r="D21" s="1582" t="s">
        <v>2284</v>
      </c>
      <c r="E21" s="1583">
        <v>1565000</v>
      </c>
    </row>
    <row r="22" spans="1:5" ht="21.75" customHeight="1">
      <c r="A22" s="1496"/>
      <c r="B22" s="1497" t="s">
        <v>215</v>
      </c>
      <c r="C22" s="1501"/>
      <c r="D22" s="1582" t="s">
        <v>2285</v>
      </c>
      <c r="E22" s="1583">
        <v>150000</v>
      </c>
    </row>
    <row r="23" spans="1:5" ht="21.75" customHeight="1">
      <c r="A23" s="1506"/>
      <c r="B23" s="1497" t="s">
        <v>217</v>
      </c>
      <c r="C23" s="1507"/>
      <c r="D23" s="1582" t="s">
        <v>2288</v>
      </c>
      <c r="E23" s="1583">
        <v>500000</v>
      </c>
    </row>
    <row r="24" spans="1:5" ht="21.75" customHeight="1">
      <c r="A24" s="1506"/>
      <c r="B24" s="1508" t="s">
        <v>2239</v>
      </c>
      <c r="C24" s="1507"/>
      <c r="D24" s="1582" t="s">
        <v>1733</v>
      </c>
      <c r="E24" s="1583">
        <v>2310000</v>
      </c>
    </row>
    <row r="25" spans="1:5" ht="21.75" customHeight="1">
      <c r="A25" s="1506"/>
      <c r="B25" s="1508" t="s">
        <v>2240</v>
      </c>
      <c r="C25" s="1507"/>
      <c r="D25" s="1582" t="s">
        <v>1930</v>
      </c>
      <c r="E25" s="1583">
        <v>242000</v>
      </c>
    </row>
    <row r="26" spans="1:5" ht="21.75" customHeight="1">
      <c r="A26" s="1506"/>
      <c r="B26" s="1497" t="s">
        <v>219</v>
      </c>
      <c r="C26" s="1507"/>
      <c r="D26" s="1582" t="s">
        <v>1932</v>
      </c>
      <c r="E26" s="1583">
        <v>50000</v>
      </c>
    </row>
    <row r="27" spans="1:5" ht="21.75" customHeight="1">
      <c r="A27" s="1506"/>
      <c r="B27" s="1497" t="s">
        <v>221</v>
      </c>
      <c r="C27" s="1507"/>
      <c r="D27" s="1582" t="s">
        <v>1156</v>
      </c>
      <c r="E27" s="1583">
        <v>2230000</v>
      </c>
    </row>
    <row r="28" spans="1:5" ht="21.75" customHeight="1" thickBot="1">
      <c r="A28" s="1506"/>
      <c r="B28" s="1497" t="s">
        <v>222</v>
      </c>
      <c r="C28" s="1507"/>
      <c r="D28" s="1582" t="s">
        <v>2289</v>
      </c>
      <c r="E28" s="1583">
        <v>4855000</v>
      </c>
    </row>
    <row r="29" spans="1:5" ht="21" hidden="1" customHeight="1">
      <c r="A29" s="1509"/>
      <c r="B29" s="1497" t="s">
        <v>224</v>
      </c>
      <c r="C29" s="1507"/>
      <c r="D29" s="1504"/>
      <c r="E29" s="1505"/>
    </row>
    <row r="30" spans="1:5" ht="21" hidden="1" customHeight="1">
      <c r="A30" s="1509"/>
      <c r="B30" s="1497" t="s">
        <v>225</v>
      </c>
      <c r="C30" s="1507"/>
      <c r="D30" s="1504"/>
      <c r="E30" s="1505"/>
    </row>
    <row r="31" spans="1:5" ht="21" hidden="1" customHeight="1">
      <c r="A31" s="1509"/>
      <c r="B31" s="1497" t="s">
        <v>227</v>
      </c>
      <c r="C31" s="1507"/>
      <c r="D31" s="1504"/>
      <c r="E31" s="1505"/>
    </row>
    <row r="32" spans="1:5" ht="21" hidden="1" customHeight="1">
      <c r="A32" s="1506"/>
      <c r="B32" s="1497" t="s">
        <v>229</v>
      </c>
      <c r="C32" s="1507"/>
      <c r="D32" s="1504"/>
      <c r="E32" s="1505"/>
    </row>
    <row r="33" spans="1:7" ht="33.75" hidden="1" customHeight="1">
      <c r="A33" s="1506"/>
      <c r="B33" s="1497" t="s">
        <v>2148</v>
      </c>
      <c r="C33" s="1507"/>
      <c r="D33" s="1504"/>
      <c r="E33" s="1505"/>
    </row>
    <row r="34" spans="1:7" ht="21" hidden="1" customHeight="1">
      <c r="A34" s="1506"/>
      <c r="B34" s="1497" t="s">
        <v>2179</v>
      </c>
      <c r="C34" s="1507"/>
      <c r="D34" s="1504"/>
      <c r="E34" s="1505"/>
    </row>
    <row r="35" spans="1:7" ht="21" hidden="1" customHeight="1">
      <c r="A35" s="1506"/>
      <c r="B35" s="1497" t="s">
        <v>2199</v>
      </c>
      <c r="C35" s="1507"/>
      <c r="D35" s="1504"/>
      <c r="E35" s="1505"/>
    </row>
    <row r="36" spans="1:7" s="1510" customFormat="1" ht="21" hidden="1" customHeight="1">
      <c r="A36" s="1506"/>
      <c r="B36" s="1497" t="s">
        <v>2200</v>
      </c>
      <c r="C36" s="1507"/>
      <c r="D36" s="1504"/>
      <c r="E36" s="1505"/>
    </row>
    <row r="37" spans="1:7" ht="21" hidden="1" customHeight="1">
      <c r="A37" s="1506"/>
      <c r="B37" s="1497" t="s">
        <v>2201</v>
      </c>
      <c r="C37" s="1507"/>
      <c r="D37" s="1504"/>
      <c r="E37" s="1505"/>
    </row>
    <row r="38" spans="1:7" ht="21" hidden="1" customHeight="1">
      <c r="A38" s="1496"/>
      <c r="B38" s="1497" t="s">
        <v>2202</v>
      </c>
      <c r="C38" s="1501"/>
      <c r="D38" s="1511"/>
      <c r="E38" s="1505"/>
    </row>
    <row r="39" spans="1:7" ht="21" hidden="1" customHeight="1" thickBot="1">
      <c r="A39" s="1512"/>
      <c r="B39" s="1497" t="s">
        <v>2203</v>
      </c>
      <c r="C39" s="1513"/>
      <c r="D39" s="1514"/>
      <c r="E39" s="1515"/>
    </row>
    <row r="40" spans="1:7" ht="41.25" customHeight="1" thickTop="1" thickBot="1">
      <c r="A40" s="1516"/>
      <c r="B40" s="1517"/>
      <c r="C40" s="1518"/>
      <c r="D40" s="1519" t="s">
        <v>2241</v>
      </c>
      <c r="E40" s="1520">
        <f>SUM(E5:E39)</f>
        <v>257176334</v>
      </c>
      <c r="G40" s="1589"/>
    </row>
    <row r="41" spans="1:7" ht="30" customHeight="1" thickTop="1" thickBot="1">
      <c r="A41" s="1521"/>
      <c r="B41" s="1521"/>
      <c r="C41" s="1522"/>
      <c r="D41" s="1523"/>
      <c r="E41" s="1523"/>
      <c r="G41" s="1589"/>
    </row>
    <row r="42" spans="1:7" ht="36" customHeight="1" thickTop="1" thickBot="1">
      <c r="A42" s="2002" t="s">
        <v>2242</v>
      </c>
      <c r="B42" s="2002"/>
      <c r="C42" s="1524"/>
      <c r="D42" s="2004" t="s">
        <v>2243</v>
      </c>
      <c r="E42" s="2004"/>
    </row>
    <row r="43" spans="1:7" ht="21" customHeight="1" thickTop="1">
      <c r="A43" s="1525"/>
      <c r="B43" s="1526" t="s">
        <v>4</v>
      </c>
      <c r="C43" s="1527"/>
      <c r="D43" s="1528" t="s">
        <v>201</v>
      </c>
      <c r="E43" s="1476">
        <f>SUM(E44:E47)</f>
        <v>22359000</v>
      </c>
    </row>
    <row r="44" spans="1:7" ht="21" customHeight="1">
      <c r="A44" s="1525"/>
      <c r="B44" s="1529" t="s">
        <v>965</v>
      </c>
      <c r="C44" s="1527"/>
      <c r="D44" s="1531" t="s">
        <v>2244</v>
      </c>
      <c r="E44" s="1476">
        <v>11649000</v>
      </c>
    </row>
    <row r="45" spans="1:7" ht="21" customHeight="1">
      <c r="A45" s="1525"/>
      <c r="B45" s="1529" t="s">
        <v>966</v>
      </c>
      <c r="C45" s="1527"/>
      <c r="D45" s="1531" t="s">
        <v>199</v>
      </c>
      <c r="E45" s="1476">
        <v>736000</v>
      </c>
    </row>
    <row r="46" spans="1:7" ht="21" customHeight="1">
      <c r="A46" s="1525"/>
      <c r="B46" s="1529" t="s">
        <v>967</v>
      </c>
      <c r="C46" s="1527"/>
      <c r="D46" s="1531" t="s">
        <v>2293</v>
      </c>
      <c r="E46" s="1476">
        <v>199000</v>
      </c>
    </row>
    <row r="47" spans="1:7" ht="21" customHeight="1" thickBot="1">
      <c r="A47" s="1525"/>
      <c r="B47" s="1529" t="s">
        <v>902</v>
      </c>
      <c r="C47" s="1527"/>
      <c r="D47" s="1531" t="s">
        <v>2294</v>
      </c>
      <c r="E47" s="1476">
        <v>9775000</v>
      </c>
    </row>
    <row r="48" spans="1:7" ht="40.5" customHeight="1" thickTop="1" thickBot="1">
      <c r="A48" s="1516"/>
      <c r="B48" s="1517"/>
      <c r="C48" s="1532"/>
      <c r="D48" s="1519" t="s">
        <v>2241</v>
      </c>
      <c r="E48" s="1520">
        <f>SUM(E43)</f>
        <v>22359000</v>
      </c>
    </row>
    <row r="49" spans="1:5" ht="24.75" customHeight="1" thickTop="1">
      <c r="A49" s="1521"/>
      <c r="B49" s="1522"/>
      <c r="C49" s="1522"/>
      <c r="D49" s="1533"/>
      <c r="E49" s="1523"/>
    </row>
  </sheetData>
  <sheetProtection selectLockedCells="1" selectUnlockedCells="1"/>
  <mergeCells count="4">
    <mergeCell ref="A3:C3"/>
    <mergeCell ref="D4:E4"/>
    <mergeCell ref="A42:B42"/>
    <mergeCell ref="D42:E42"/>
  </mergeCells>
  <pageMargins left="0.39370078740157483" right="0.39370078740157483" top="0.86614173228346458" bottom="0.51181102362204722" header="0.27559055118110237" footer="0.15748031496062992"/>
  <pageSetup paperSize="9" firstPageNumber="128" orientation="portrait" horizontalDpi="300" verticalDpi="300" r:id="rId1"/>
  <headerFooter alignWithMargins="0">
    <oddHeader>&amp;C&amp;"Arial,Félkövér"&amp;12Vecsés Város Önkormányzat
 2013. évi feladattal terhelt működési pénzmaradványa&amp;R&amp;12 15.1. sz. melléklet</oddHeader>
    <oddFooter>&amp;C- &amp;P -</oddFooter>
  </headerFooter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view="pageBreakPreview" zoomScale="90" zoomScaleNormal="50" zoomScaleSheetLayoutView="90" workbookViewId="0">
      <pane ySplit="4245" topLeftCell="A11"/>
      <selection activeCell="O4" sqref="O4:Q4"/>
      <selection pane="bottomLeft" activeCell="AG31" sqref="AG31:AG54"/>
    </sheetView>
  </sheetViews>
  <sheetFormatPr defaultRowHeight="15"/>
  <cols>
    <col min="1" max="1" width="57.33203125" style="968" customWidth="1"/>
    <col min="2" max="2" width="22.83203125" style="968" hidden="1" customWidth="1"/>
    <col min="3" max="8" width="11.83203125" style="968" customWidth="1"/>
    <col min="9" max="9" width="10.5" style="968" customWidth="1"/>
    <col min="10" max="12" width="10.83203125" style="968" customWidth="1"/>
    <col min="13" max="17" width="9.83203125" style="968" customWidth="1"/>
    <col min="18" max="18" width="9.33203125" style="968" customWidth="1"/>
    <col min="19" max="19" width="10.5" style="968" customWidth="1"/>
    <col min="20" max="20" width="11.6640625" style="968" customWidth="1"/>
    <col min="21" max="23" width="13" style="968" customWidth="1"/>
    <col min="24" max="24" width="8.83203125" style="968" customWidth="1"/>
    <col min="25" max="25" width="9.83203125" style="968" customWidth="1"/>
    <col min="26" max="26" width="9.1640625" style="968" customWidth="1"/>
    <col min="27" max="27" width="8.83203125" style="968" customWidth="1"/>
    <col min="28" max="28" width="11" style="968" customWidth="1"/>
    <col min="29" max="29" width="10.6640625" style="968" customWidth="1"/>
    <col min="30" max="30" width="13.1640625" style="968" customWidth="1"/>
    <col min="31" max="31" width="13" style="968" customWidth="1"/>
    <col min="32" max="32" width="12" style="968" customWidth="1"/>
    <col min="33" max="33" width="13.1640625" style="968" customWidth="1"/>
    <col min="34" max="16384" width="9.33203125" style="968"/>
  </cols>
  <sheetData>
    <row r="1" spans="1:35" ht="20.25">
      <c r="A1" s="1822" t="s">
        <v>1647</v>
      </c>
      <c r="B1" s="1822"/>
      <c r="C1" s="1822"/>
      <c r="D1" s="1822"/>
      <c r="E1" s="1822"/>
      <c r="F1" s="1822"/>
      <c r="G1" s="1822"/>
      <c r="H1" s="1822"/>
      <c r="I1" s="1822"/>
      <c r="J1" s="1822"/>
      <c r="K1" s="1822"/>
      <c r="L1" s="1822"/>
      <c r="M1" s="1822"/>
      <c r="N1" s="1822"/>
      <c r="O1" s="1822"/>
      <c r="P1" s="1822"/>
      <c r="Q1" s="1822"/>
      <c r="R1" s="1822"/>
      <c r="S1" s="1822"/>
      <c r="T1" s="1822"/>
      <c r="U1" s="1822"/>
      <c r="V1" s="1822"/>
      <c r="W1" s="1822"/>
      <c r="X1" s="1822"/>
      <c r="Y1" s="1822"/>
      <c r="Z1" s="1822"/>
      <c r="AA1" s="1822"/>
      <c r="AB1" s="1822"/>
      <c r="AC1" s="1822"/>
      <c r="AD1" s="1822"/>
      <c r="AE1" s="1822"/>
      <c r="AF1" s="1822"/>
      <c r="AG1" s="1822"/>
    </row>
    <row r="2" spans="1:35" ht="21" customHeight="1" thickBot="1">
      <c r="A2" s="969"/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969"/>
      <c r="O2" s="969"/>
      <c r="P2" s="969"/>
      <c r="Q2" s="969"/>
      <c r="R2" s="969"/>
      <c r="S2" s="969"/>
      <c r="T2" s="969"/>
      <c r="U2" s="969"/>
      <c r="V2" s="969"/>
      <c r="W2" s="969"/>
      <c r="X2" s="969"/>
      <c r="Y2" s="969"/>
      <c r="Z2" s="969"/>
      <c r="AA2" s="969"/>
      <c r="AB2" s="969"/>
      <c r="AC2" s="969"/>
      <c r="AD2" s="969"/>
      <c r="AE2" s="969"/>
      <c r="AF2" s="969"/>
      <c r="AG2" s="969"/>
    </row>
    <row r="3" spans="1:35" s="1062" customFormat="1" ht="72.75" customHeight="1" thickBot="1">
      <c r="A3" s="1823" t="s">
        <v>1455</v>
      </c>
      <c r="B3" s="1826" t="s">
        <v>1456</v>
      </c>
      <c r="C3" s="1831" t="s">
        <v>1457</v>
      </c>
      <c r="D3" s="1832"/>
      <c r="E3" s="1833"/>
      <c r="F3" s="1831" t="s">
        <v>1458</v>
      </c>
      <c r="G3" s="1832"/>
      <c r="H3" s="1833"/>
      <c r="I3" s="1814" t="s">
        <v>1392</v>
      </c>
      <c r="J3" s="1815"/>
      <c r="K3" s="1837"/>
      <c r="L3" s="1814" t="s">
        <v>1393</v>
      </c>
      <c r="M3" s="1815"/>
      <c r="N3" s="1837"/>
      <c r="O3" s="1829" t="s">
        <v>1459</v>
      </c>
      <c r="P3" s="1830"/>
      <c r="Q3" s="1844"/>
      <c r="R3" s="1829" t="s">
        <v>1460</v>
      </c>
      <c r="S3" s="1847"/>
      <c r="T3" s="1847"/>
      <c r="U3" s="1847"/>
      <c r="V3" s="1847"/>
      <c r="W3" s="1844"/>
      <c r="X3" s="1829" t="s">
        <v>2030</v>
      </c>
      <c r="Y3" s="1830"/>
      <c r="Z3" s="1830"/>
      <c r="AA3" s="1814" t="s">
        <v>772</v>
      </c>
      <c r="AB3" s="1815"/>
      <c r="AC3" s="1815"/>
      <c r="AD3" s="1818" t="s">
        <v>1648</v>
      </c>
      <c r="AE3" s="1819"/>
      <c r="AF3" s="1819"/>
      <c r="AG3" s="1820"/>
      <c r="AH3" s="1061"/>
      <c r="AI3" s="1061"/>
    </row>
    <row r="4" spans="1:35" s="1062" customFormat="1" ht="79.5" customHeight="1" thickBot="1">
      <c r="A4" s="1824"/>
      <c r="B4" s="1827"/>
      <c r="C4" s="1834"/>
      <c r="D4" s="1835"/>
      <c r="E4" s="1836"/>
      <c r="F4" s="1834"/>
      <c r="G4" s="1835"/>
      <c r="H4" s="1836"/>
      <c r="I4" s="1838"/>
      <c r="J4" s="1839"/>
      <c r="K4" s="1840"/>
      <c r="L4" s="1838"/>
      <c r="M4" s="1839"/>
      <c r="N4" s="1840"/>
      <c r="O4" s="1841" t="s">
        <v>1409</v>
      </c>
      <c r="P4" s="1842"/>
      <c r="Q4" s="1843"/>
      <c r="R4" s="1812" t="s">
        <v>1461</v>
      </c>
      <c r="S4" s="1813"/>
      <c r="T4" s="1813"/>
      <c r="U4" s="1848" t="s">
        <v>1462</v>
      </c>
      <c r="V4" s="1849"/>
      <c r="W4" s="1850"/>
      <c r="X4" s="1812" t="s">
        <v>1807</v>
      </c>
      <c r="Y4" s="1813"/>
      <c r="Z4" s="1087" t="s">
        <v>1462</v>
      </c>
      <c r="AA4" s="1816"/>
      <c r="AB4" s="1817"/>
      <c r="AC4" s="1817"/>
      <c r="AD4" s="1845" t="s">
        <v>200</v>
      </c>
      <c r="AE4" s="1845"/>
      <c r="AF4" s="1846"/>
      <c r="AG4" s="1064" t="s">
        <v>1463</v>
      </c>
      <c r="AH4" s="1061"/>
      <c r="AI4" s="1061"/>
    </row>
    <row r="5" spans="1:35" s="1062" customFormat="1" ht="33" customHeight="1" thickBot="1">
      <c r="A5" s="1825"/>
      <c r="B5" s="1828"/>
      <c r="C5" s="1063" t="s">
        <v>1798</v>
      </c>
      <c r="D5" s="1063" t="s">
        <v>1805</v>
      </c>
      <c r="E5" s="1063" t="s">
        <v>264</v>
      </c>
      <c r="F5" s="1063" t="s">
        <v>1798</v>
      </c>
      <c r="G5" s="1063" t="s">
        <v>1805</v>
      </c>
      <c r="H5" s="1063" t="s">
        <v>264</v>
      </c>
      <c r="I5" s="1087" t="s">
        <v>1798</v>
      </c>
      <c r="J5" s="1087" t="s">
        <v>1802</v>
      </c>
      <c r="K5" s="1087" t="s">
        <v>264</v>
      </c>
      <c r="L5" s="1087" t="s">
        <v>1798</v>
      </c>
      <c r="M5" s="1087" t="s">
        <v>1806</v>
      </c>
      <c r="N5" s="1087" t="s">
        <v>264</v>
      </c>
      <c r="O5" s="1087" t="s">
        <v>1798</v>
      </c>
      <c r="P5" s="1087" t="s">
        <v>1802</v>
      </c>
      <c r="Q5" s="1087" t="s">
        <v>264</v>
      </c>
      <c r="R5" s="1087" t="s">
        <v>1798</v>
      </c>
      <c r="S5" s="1087" t="s">
        <v>1802</v>
      </c>
      <c r="T5" s="1087" t="s">
        <v>1801</v>
      </c>
      <c r="U5" s="1087" t="s">
        <v>1798</v>
      </c>
      <c r="V5" s="1087" t="s">
        <v>1802</v>
      </c>
      <c r="W5" s="1087" t="s">
        <v>1801</v>
      </c>
      <c r="X5" s="1087" t="s">
        <v>1798</v>
      </c>
      <c r="Y5" s="1087" t="s">
        <v>1802</v>
      </c>
      <c r="Z5" s="1087"/>
      <c r="AA5" s="1087" t="s">
        <v>1798</v>
      </c>
      <c r="AB5" s="1087" t="s">
        <v>1802</v>
      </c>
      <c r="AC5" s="1087" t="s">
        <v>1801</v>
      </c>
      <c r="AD5" s="1087" t="s">
        <v>1798</v>
      </c>
      <c r="AE5" s="1087" t="s">
        <v>1805</v>
      </c>
      <c r="AF5" s="1087" t="s">
        <v>264</v>
      </c>
      <c r="AG5" s="1064"/>
      <c r="AH5" s="1061"/>
      <c r="AI5" s="1061"/>
    </row>
    <row r="6" spans="1:35" s="1062" customFormat="1" ht="20.25" customHeight="1">
      <c r="A6" s="1065" t="s">
        <v>1464</v>
      </c>
      <c r="B6" s="1066"/>
      <c r="C6" s="1043">
        <v>0</v>
      </c>
      <c r="D6" s="1043">
        <v>0</v>
      </c>
      <c r="E6" s="1043">
        <v>0</v>
      </c>
      <c r="F6" s="1043">
        <v>0</v>
      </c>
      <c r="G6" s="1043">
        <v>0</v>
      </c>
      <c r="H6" s="1043">
        <v>0</v>
      </c>
      <c r="I6" s="1042"/>
      <c r="J6" s="1042"/>
      <c r="K6" s="1042"/>
      <c r="L6" s="1042"/>
      <c r="M6" s="1042"/>
      <c r="N6" s="1042"/>
      <c r="O6" s="1042"/>
      <c r="P6" s="1042"/>
      <c r="Q6" s="1042"/>
      <c r="R6" s="1042"/>
      <c r="S6" s="1042"/>
      <c r="T6" s="1042"/>
      <c r="U6" s="1042"/>
      <c r="V6" s="1042"/>
      <c r="W6" s="1042"/>
      <c r="X6" s="1042"/>
      <c r="Y6" s="1042"/>
      <c r="Z6" s="1042"/>
      <c r="AA6" s="1042"/>
      <c r="AB6" s="1042"/>
      <c r="AC6" s="1042"/>
      <c r="AD6" s="1043">
        <f t="shared" ref="AD6:AD37" si="0">SUM(F6-I6-L6-O6-R6-U6-X6-Z6-AA6)</f>
        <v>0</v>
      </c>
      <c r="AE6" s="1043">
        <f t="shared" ref="AE6:AE21" si="1">SUM(G6-J6-M6-P6-S6-X6-Z6-AB6)</f>
        <v>0</v>
      </c>
      <c r="AF6" s="1043">
        <f t="shared" ref="AF6:AF53" si="2">SUM(H6-K6-N6-Q6-T6-AC6)-W6</f>
        <v>0</v>
      </c>
      <c r="AG6" s="1044"/>
      <c r="AH6" s="1061"/>
      <c r="AI6" s="1061"/>
    </row>
    <row r="7" spans="1:35" s="1062" customFormat="1" ht="20.25" customHeight="1">
      <c r="A7" s="1039" t="s">
        <v>1465</v>
      </c>
      <c r="B7" s="1067"/>
      <c r="C7" s="1043">
        <v>0</v>
      </c>
      <c r="D7" s="1043">
        <v>0</v>
      </c>
      <c r="E7" s="1043">
        <v>0</v>
      </c>
      <c r="F7" s="1043">
        <v>0</v>
      </c>
      <c r="G7" s="1043">
        <v>0</v>
      </c>
      <c r="H7" s="1043">
        <v>0</v>
      </c>
      <c r="I7" s="1049"/>
      <c r="J7" s="1054"/>
      <c r="K7" s="1054"/>
      <c r="L7" s="1049"/>
      <c r="M7" s="1054"/>
      <c r="N7" s="1054"/>
      <c r="O7" s="1049"/>
      <c r="P7" s="1054"/>
      <c r="Q7" s="1054"/>
      <c r="R7" s="1049"/>
      <c r="S7" s="1054"/>
      <c r="T7" s="1054"/>
      <c r="U7" s="1049"/>
      <c r="V7" s="1174"/>
      <c r="W7" s="1174"/>
      <c r="X7" s="1049"/>
      <c r="Y7" s="1174"/>
      <c r="Z7" s="1049"/>
      <c r="AA7" s="1049"/>
      <c r="AB7" s="1042"/>
      <c r="AC7" s="1042"/>
      <c r="AD7" s="1043">
        <f t="shared" si="0"/>
        <v>0</v>
      </c>
      <c r="AE7" s="1043">
        <f t="shared" si="1"/>
        <v>0</v>
      </c>
      <c r="AF7" s="1043">
        <f t="shared" si="2"/>
        <v>0</v>
      </c>
      <c r="AG7" s="1070"/>
      <c r="AH7" s="1061"/>
      <c r="AI7" s="1061"/>
    </row>
    <row r="8" spans="1:35" s="1062" customFormat="1" ht="20.25" customHeight="1">
      <c r="A8" s="1039" t="s">
        <v>1466</v>
      </c>
      <c r="B8" s="1067"/>
      <c r="C8" s="1068">
        <f>SUM(C9:C14)</f>
        <v>137510</v>
      </c>
      <c r="D8" s="1068">
        <f t="shared" ref="D8:AC8" si="3">SUM(D9:D14)</f>
        <v>100702</v>
      </c>
      <c r="E8" s="1068">
        <f t="shared" si="3"/>
        <v>88944</v>
      </c>
      <c r="F8" s="1068">
        <f t="shared" si="3"/>
        <v>137510</v>
      </c>
      <c r="G8" s="1068">
        <f t="shared" si="3"/>
        <v>100702</v>
      </c>
      <c r="H8" s="1068">
        <f t="shared" si="3"/>
        <v>88944</v>
      </c>
      <c r="I8" s="1068">
        <f t="shared" si="3"/>
        <v>0</v>
      </c>
      <c r="J8" s="1068">
        <f t="shared" si="3"/>
        <v>0</v>
      </c>
      <c r="K8" s="1068">
        <f t="shared" si="3"/>
        <v>0</v>
      </c>
      <c r="L8" s="1068">
        <f t="shared" si="3"/>
        <v>0</v>
      </c>
      <c r="M8" s="1068">
        <f t="shared" si="3"/>
        <v>0</v>
      </c>
      <c r="N8" s="1068">
        <f t="shared" si="3"/>
        <v>0</v>
      </c>
      <c r="O8" s="1068">
        <f t="shared" si="3"/>
        <v>0</v>
      </c>
      <c r="P8" s="1068">
        <f t="shared" si="3"/>
        <v>0</v>
      </c>
      <c r="Q8" s="1068">
        <f t="shared" si="3"/>
        <v>0</v>
      </c>
      <c r="R8" s="1068">
        <f t="shared" si="3"/>
        <v>0</v>
      </c>
      <c r="S8" s="1068">
        <f t="shared" si="3"/>
        <v>0</v>
      </c>
      <c r="T8" s="1068">
        <f t="shared" si="3"/>
        <v>0</v>
      </c>
      <c r="U8" s="1068">
        <f t="shared" si="3"/>
        <v>0</v>
      </c>
      <c r="V8" s="1068">
        <f t="shared" si="3"/>
        <v>0</v>
      </c>
      <c r="W8" s="1068">
        <f t="shared" si="3"/>
        <v>0</v>
      </c>
      <c r="X8" s="1068">
        <f t="shared" si="3"/>
        <v>0</v>
      </c>
      <c r="Y8" s="1250"/>
      <c r="Z8" s="1068">
        <f t="shared" si="3"/>
        <v>0</v>
      </c>
      <c r="AA8" s="1068">
        <f t="shared" si="3"/>
        <v>0</v>
      </c>
      <c r="AB8" s="1068">
        <f t="shared" si="3"/>
        <v>0</v>
      </c>
      <c r="AC8" s="1068">
        <f t="shared" si="3"/>
        <v>0</v>
      </c>
      <c r="AD8" s="1071">
        <f t="shared" si="0"/>
        <v>137510</v>
      </c>
      <c r="AE8" s="1071">
        <f t="shared" si="1"/>
        <v>100702</v>
      </c>
      <c r="AF8" s="1071">
        <f t="shared" si="2"/>
        <v>88944</v>
      </c>
      <c r="AG8" s="1070"/>
      <c r="AH8" s="1061"/>
      <c r="AI8" s="1061"/>
    </row>
    <row r="9" spans="1:35" s="1062" customFormat="1" ht="20.25" customHeight="1">
      <c r="A9" s="1072" t="s">
        <v>1467</v>
      </c>
      <c r="B9" s="1067"/>
      <c r="C9" s="1073">
        <v>0</v>
      </c>
      <c r="D9" s="1074">
        <v>0</v>
      </c>
      <c r="E9" s="1074">
        <v>0</v>
      </c>
      <c r="F9" s="1073">
        <v>0</v>
      </c>
      <c r="G9" s="1074">
        <f t="shared" ref="G9:H14" si="4">SUM(D9)</f>
        <v>0</v>
      </c>
      <c r="H9" s="1074">
        <f t="shared" si="4"/>
        <v>0</v>
      </c>
      <c r="I9" s="1049"/>
      <c r="J9" s="1054"/>
      <c r="K9" s="1054"/>
      <c r="L9" s="1049"/>
      <c r="M9" s="1054"/>
      <c r="N9" s="1054"/>
      <c r="O9" s="1049"/>
      <c r="P9" s="1054"/>
      <c r="Q9" s="1054"/>
      <c r="R9" s="1049"/>
      <c r="S9" s="1054"/>
      <c r="T9" s="1054"/>
      <c r="U9" s="1049"/>
      <c r="V9" s="1174"/>
      <c r="W9" s="1174"/>
      <c r="X9" s="1049"/>
      <c r="Y9" s="1174"/>
      <c r="Z9" s="1049"/>
      <c r="AA9" s="1049"/>
      <c r="AB9" s="1042"/>
      <c r="AC9" s="1042"/>
      <c r="AD9" s="1043">
        <f t="shared" si="0"/>
        <v>0</v>
      </c>
      <c r="AE9" s="1043">
        <f t="shared" si="1"/>
        <v>0</v>
      </c>
      <c r="AF9" s="1043">
        <f t="shared" si="2"/>
        <v>0</v>
      </c>
      <c r="AG9" s="1070"/>
      <c r="AH9" s="1061"/>
      <c r="AI9" s="1061"/>
    </row>
    <row r="10" spans="1:35" s="1062" customFormat="1" ht="20.25" customHeight="1">
      <c r="A10" s="1247" t="s">
        <v>1468</v>
      </c>
      <c r="B10" s="1067"/>
      <c r="C10" s="1073">
        <v>55000</v>
      </c>
      <c r="D10" s="1073">
        <v>48523</v>
      </c>
      <c r="E10" s="1074">
        <v>41763</v>
      </c>
      <c r="F10" s="1073">
        <v>55000</v>
      </c>
      <c r="G10" s="1074">
        <f t="shared" si="4"/>
        <v>48523</v>
      </c>
      <c r="H10" s="1074">
        <f t="shared" si="4"/>
        <v>41763</v>
      </c>
      <c r="I10" s="1049"/>
      <c r="J10" s="1054"/>
      <c r="K10" s="1054"/>
      <c r="L10" s="1049"/>
      <c r="M10" s="1054"/>
      <c r="N10" s="1054"/>
      <c r="O10" s="1049"/>
      <c r="P10" s="1054"/>
      <c r="Q10" s="1054"/>
      <c r="R10" s="1049"/>
      <c r="S10" s="1054"/>
      <c r="T10" s="1054"/>
      <c r="U10" s="1049"/>
      <c r="V10" s="1174"/>
      <c r="W10" s="1174"/>
      <c r="X10" s="1049"/>
      <c r="Y10" s="1174"/>
      <c r="Z10" s="1049"/>
      <c r="AA10" s="1049"/>
      <c r="AB10" s="1042"/>
      <c r="AC10" s="1042"/>
      <c r="AD10" s="1043">
        <f t="shared" si="0"/>
        <v>55000</v>
      </c>
      <c r="AE10" s="1043">
        <f t="shared" si="1"/>
        <v>48523</v>
      </c>
      <c r="AF10" s="1043">
        <f t="shared" si="2"/>
        <v>41763</v>
      </c>
      <c r="AG10" s="1070"/>
      <c r="AH10" s="1061"/>
      <c r="AI10" s="1061" t="s">
        <v>1469</v>
      </c>
    </row>
    <row r="11" spans="1:35" s="1062" customFormat="1" ht="20.25" customHeight="1">
      <c r="A11" s="1247" t="s">
        <v>1470</v>
      </c>
      <c r="B11" s="1067"/>
      <c r="C11" s="1073">
        <v>510</v>
      </c>
      <c r="D11" s="1074">
        <v>510</v>
      </c>
      <c r="E11" s="1074">
        <v>510</v>
      </c>
      <c r="F11" s="1073">
        <v>510</v>
      </c>
      <c r="G11" s="1074">
        <f t="shared" si="4"/>
        <v>510</v>
      </c>
      <c r="H11" s="1074">
        <f t="shared" si="4"/>
        <v>510</v>
      </c>
      <c r="I11" s="1049"/>
      <c r="J11" s="1054"/>
      <c r="K11" s="1054"/>
      <c r="L11" s="1049"/>
      <c r="M11" s="1054"/>
      <c r="N11" s="1054"/>
      <c r="O11" s="1049"/>
      <c r="P11" s="1054"/>
      <c r="Q11" s="1054"/>
      <c r="R11" s="1049"/>
      <c r="S11" s="1054"/>
      <c r="T11" s="1054"/>
      <c r="U11" s="1049"/>
      <c r="V11" s="1174"/>
      <c r="W11" s="1174"/>
      <c r="X11" s="1049"/>
      <c r="Y11" s="1174"/>
      <c r="Z11" s="1049"/>
      <c r="AA11" s="1049"/>
      <c r="AB11" s="1042"/>
      <c r="AC11" s="1042"/>
      <c r="AD11" s="1043">
        <f t="shared" si="0"/>
        <v>510</v>
      </c>
      <c r="AE11" s="1043">
        <f t="shared" si="1"/>
        <v>510</v>
      </c>
      <c r="AF11" s="1043">
        <f t="shared" si="2"/>
        <v>510</v>
      </c>
      <c r="AG11" s="1070"/>
      <c r="AH11" s="1061"/>
      <c r="AI11" s="1061"/>
    </row>
    <row r="12" spans="1:35" s="1062" customFormat="1" ht="20.25" customHeight="1">
      <c r="A12" s="1247" t="s">
        <v>1471</v>
      </c>
      <c r="B12" s="1067"/>
      <c r="C12" s="1073">
        <v>50000</v>
      </c>
      <c r="D12" s="1074">
        <v>12606</v>
      </c>
      <c r="E12" s="1074">
        <v>11387</v>
      </c>
      <c r="F12" s="1073">
        <v>50000</v>
      </c>
      <c r="G12" s="1074">
        <f t="shared" si="4"/>
        <v>12606</v>
      </c>
      <c r="H12" s="1074">
        <f t="shared" si="4"/>
        <v>11387</v>
      </c>
      <c r="I12" s="1049"/>
      <c r="J12" s="1054"/>
      <c r="K12" s="1054"/>
      <c r="L12" s="1049"/>
      <c r="M12" s="1054"/>
      <c r="N12" s="1054"/>
      <c r="O12" s="1049"/>
      <c r="P12" s="1054"/>
      <c r="Q12" s="1054"/>
      <c r="R12" s="1049"/>
      <c r="S12" s="1054"/>
      <c r="T12" s="1054"/>
      <c r="U12" s="1049"/>
      <c r="V12" s="1174"/>
      <c r="W12" s="1174"/>
      <c r="X12" s="1049"/>
      <c r="Y12" s="1174"/>
      <c r="Z12" s="1049"/>
      <c r="AA12" s="1049"/>
      <c r="AB12" s="1042"/>
      <c r="AC12" s="1042"/>
      <c r="AD12" s="1043">
        <f t="shared" si="0"/>
        <v>50000</v>
      </c>
      <c r="AE12" s="1043">
        <f t="shared" si="1"/>
        <v>12606</v>
      </c>
      <c r="AF12" s="1043">
        <f t="shared" si="2"/>
        <v>11387</v>
      </c>
      <c r="AG12" s="1070"/>
      <c r="AH12" s="1061"/>
      <c r="AI12" s="1061"/>
    </row>
    <row r="13" spans="1:35" s="1062" customFormat="1" ht="20.25" customHeight="1">
      <c r="A13" s="1247" t="s">
        <v>1472</v>
      </c>
      <c r="B13" s="1067"/>
      <c r="C13" s="1073">
        <v>32000</v>
      </c>
      <c r="D13" s="1074">
        <v>39063</v>
      </c>
      <c r="E13" s="1074">
        <v>35284</v>
      </c>
      <c r="F13" s="1073">
        <v>32000</v>
      </c>
      <c r="G13" s="1074">
        <f t="shared" si="4"/>
        <v>39063</v>
      </c>
      <c r="H13" s="1074">
        <f t="shared" si="4"/>
        <v>35284</v>
      </c>
      <c r="I13" s="1049"/>
      <c r="J13" s="1054"/>
      <c r="K13" s="1054"/>
      <c r="L13" s="1049"/>
      <c r="M13" s="1054"/>
      <c r="N13" s="1054"/>
      <c r="O13" s="1049"/>
      <c r="P13" s="1054"/>
      <c r="Q13" s="1054"/>
      <c r="R13" s="1049"/>
      <c r="S13" s="1054"/>
      <c r="T13" s="1054"/>
      <c r="U13" s="1049"/>
      <c r="V13" s="1174"/>
      <c r="W13" s="1174"/>
      <c r="X13" s="1049"/>
      <c r="Y13" s="1174"/>
      <c r="Z13" s="1049"/>
      <c r="AA13" s="1049"/>
      <c r="AB13" s="1042"/>
      <c r="AC13" s="1042"/>
      <c r="AD13" s="1043">
        <f t="shared" si="0"/>
        <v>32000</v>
      </c>
      <c r="AE13" s="1043">
        <f t="shared" si="1"/>
        <v>39063</v>
      </c>
      <c r="AF13" s="1043">
        <f t="shared" si="2"/>
        <v>35284</v>
      </c>
      <c r="AG13" s="1070"/>
      <c r="AH13" s="1061"/>
      <c r="AI13" s="1061"/>
    </row>
    <row r="14" spans="1:35" s="1062" customFormat="1" ht="20.25" customHeight="1">
      <c r="A14" s="1072" t="s">
        <v>1473</v>
      </c>
      <c r="B14" s="1067"/>
      <c r="C14" s="1073">
        <v>0</v>
      </c>
      <c r="D14" s="1074">
        <v>0</v>
      </c>
      <c r="E14" s="1074">
        <v>0</v>
      </c>
      <c r="F14" s="1073">
        <v>0</v>
      </c>
      <c r="G14" s="1074">
        <f t="shared" si="4"/>
        <v>0</v>
      </c>
      <c r="H14" s="1074">
        <f t="shared" si="4"/>
        <v>0</v>
      </c>
      <c r="I14" s="1049"/>
      <c r="J14" s="1054"/>
      <c r="K14" s="1054"/>
      <c r="L14" s="1049"/>
      <c r="M14" s="1054"/>
      <c r="N14" s="1054"/>
      <c r="O14" s="1049"/>
      <c r="P14" s="1054"/>
      <c r="Q14" s="1054"/>
      <c r="R14" s="1049"/>
      <c r="S14" s="1054"/>
      <c r="T14" s="1054"/>
      <c r="U14" s="1049"/>
      <c r="V14" s="1174"/>
      <c r="W14" s="1174"/>
      <c r="X14" s="1049"/>
      <c r="Y14" s="1174"/>
      <c r="Z14" s="1049"/>
      <c r="AA14" s="1049"/>
      <c r="AB14" s="1042"/>
      <c r="AC14" s="1042"/>
      <c r="AD14" s="1043">
        <f t="shared" si="0"/>
        <v>0</v>
      </c>
      <c r="AE14" s="1043">
        <f t="shared" si="1"/>
        <v>0</v>
      </c>
      <c r="AF14" s="1043">
        <f t="shared" si="2"/>
        <v>0</v>
      </c>
      <c r="AG14" s="1070"/>
      <c r="AH14" s="1061"/>
      <c r="AI14" s="1061"/>
    </row>
    <row r="15" spans="1:35" s="1080" customFormat="1" ht="28.5" customHeight="1">
      <c r="A15" s="1075" t="s">
        <v>1474</v>
      </c>
      <c r="B15" s="1076"/>
      <c r="C15" s="1068">
        <v>0</v>
      </c>
      <c r="D15" s="1069">
        <v>0</v>
      </c>
      <c r="E15" s="1069">
        <v>0</v>
      </c>
      <c r="F15" s="1068">
        <v>0</v>
      </c>
      <c r="G15" s="1069">
        <v>0</v>
      </c>
      <c r="H15" s="1069">
        <v>0</v>
      </c>
      <c r="I15" s="1077"/>
      <c r="J15" s="1085"/>
      <c r="K15" s="1085"/>
      <c r="L15" s="1077"/>
      <c r="M15" s="1085"/>
      <c r="N15" s="1085"/>
      <c r="O15" s="1077"/>
      <c r="P15" s="1085"/>
      <c r="Q15" s="1085"/>
      <c r="R15" s="1077"/>
      <c r="S15" s="1085"/>
      <c r="T15" s="1085"/>
      <c r="U15" s="1077"/>
      <c r="V15" s="1175"/>
      <c r="W15" s="1175"/>
      <c r="X15" s="1077"/>
      <c r="Y15" s="1175"/>
      <c r="Z15" s="1077"/>
      <c r="AA15" s="1077"/>
      <c r="AB15" s="1088"/>
      <c r="AC15" s="1088"/>
      <c r="AD15" s="1071">
        <f t="shared" si="0"/>
        <v>0</v>
      </c>
      <c r="AE15" s="1043">
        <f t="shared" si="1"/>
        <v>0</v>
      </c>
      <c r="AF15" s="1043">
        <f t="shared" si="2"/>
        <v>0</v>
      </c>
      <c r="AG15" s="1078"/>
      <c r="AH15" s="1079"/>
      <c r="AI15" s="1079"/>
    </row>
    <row r="16" spans="1:35" s="1080" customFormat="1" ht="20.25" customHeight="1">
      <c r="A16" s="1233" t="s">
        <v>1475</v>
      </c>
      <c r="B16" s="1076"/>
      <c r="C16" s="1068">
        <v>143962</v>
      </c>
      <c r="D16" s="1069">
        <f>SUM('5.11 sz. mell '!E47-'1.4. sz. mell'!C7)</f>
        <v>134957</v>
      </c>
      <c r="E16" s="1069">
        <f>SUM('5.11 sz. mell '!F47-'1.4. sz. mell'!D7)</f>
        <v>132397</v>
      </c>
      <c r="F16" s="1068">
        <v>143962</v>
      </c>
      <c r="G16" s="1069">
        <f>SUM('5.11 sz. mell '!E31-'1.4. sz. mell'!F7)</f>
        <v>134957</v>
      </c>
      <c r="H16" s="1069">
        <f>SUM('5.11 sz. mell '!F31-'1.4. sz. mell'!G7)</f>
        <v>132097</v>
      </c>
      <c r="I16" s="1077"/>
      <c r="J16" s="1085"/>
      <c r="K16" s="1085"/>
      <c r="L16" s="1077"/>
      <c r="M16" s="1085"/>
      <c r="N16" s="1085"/>
      <c r="O16" s="1077">
        <v>6660</v>
      </c>
      <c r="P16" s="1077">
        <f>SUM('5.11 sz. mell '!E8-'1.4. sz. mell'!I7)</f>
        <v>6978</v>
      </c>
      <c r="Q16" s="1077">
        <f>SUM('5.11 sz. mell '!F8-'1.4. sz. mell'!J7)</f>
        <v>6973</v>
      </c>
      <c r="R16" s="1077">
        <v>62488</v>
      </c>
      <c r="S16" s="1077">
        <f>SUM('5.11 sz. mell '!E18-'1.4. sz. mell'!L7)</f>
        <v>58758</v>
      </c>
      <c r="T16" s="1077">
        <f>SUM('5.11 sz. mell '!F18-'1.4. sz. mell'!M7)</f>
        <v>56198</v>
      </c>
      <c r="U16" s="1077"/>
      <c r="V16" s="1175"/>
      <c r="W16" s="1175"/>
      <c r="X16" s="1077"/>
      <c r="Y16" s="1175"/>
      <c r="Z16" s="1077"/>
      <c r="AA16" s="1077"/>
      <c r="AB16" s="1088"/>
      <c r="AC16" s="1088"/>
      <c r="AD16" s="1071">
        <f t="shared" si="0"/>
        <v>74814</v>
      </c>
      <c r="AE16" s="1071">
        <f t="shared" si="1"/>
        <v>69221</v>
      </c>
      <c r="AF16" s="1071">
        <f t="shared" si="2"/>
        <v>68926</v>
      </c>
      <c r="AG16" s="1078"/>
      <c r="AH16" s="1079"/>
      <c r="AI16" s="1079"/>
    </row>
    <row r="17" spans="1:35" s="1080" customFormat="1" ht="20.25" customHeight="1">
      <c r="A17" s="1039" t="s">
        <v>1476</v>
      </c>
      <c r="B17" s="1076"/>
      <c r="C17" s="1068">
        <v>0</v>
      </c>
      <c r="D17" s="1068">
        <v>0</v>
      </c>
      <c r="E17" s="1068">
        <v>0</v>
      </c>
      <c r="F17" s="1068">
        <v>0</v>
      </c>
      <c r="G17" s="1069">
        <v>0</v>
      </c>
      <c r="H17" s="1069">
        <v>0</v>
      </c>
      <c r="I17" s="1077"/>
      <c r="J17" s="1085"/>
      <c r="K17" s="1085"/>
      <c r="L17" s="1077"/>
      <c r="M17" s="1085"/>
      <c r="N17" s="1085"/>
      <c r="O17" s="1077"/>
      <c r="P17" s="1085"/>
      <c r="Q17" s="1085"/>
      <c r="R17" s="1077"/>
      <c r="S17" s="1085"/>
      <c r="T17" s="1085"/>
      <c r="U17" s="1077"/>
      <c r="V17" s="1175"/>
      <c r="W17" s="1175"/>
      <c r="X17" s="1077"/>
      <c r="Y17" s="1175"/>
      <c r="Z17" s="1077"/>
      <c r="AA17" s="1077"/>
      <c r="AB17" s="1088"/>
      <c r="AC17" s="1088"/>
      <c r="AD17" s="1071">
        <f t="shared" si="0"/>
        <v>0</v>
      </c>
      <c r="AE17" s="1071">
        <f t="shared" si="1"/>
        <v>0</v>
      </c>
      <c r="AF17" s="1071">
        <f t="shared" si="2"/>
        <v>0</v>
      </c>
      <c r="AG17" s="1078"/>
      <c r="AH17" s="1079"/>
      <c r="AI17" s="1079"/>
    </row>
    <row r="18" spans="1:35" s="1062" customFormat="1" ht="20.25" customHeight="1">
      <c r="A18" s="1039" t="s">
        <v>1477</v>
      </c>
      <c r="B18" s="1067"/>
      <c r="C18" s="1068">
        <f>SUM(C19:C21)</f>
        <v>91758</v>
      </c>
      <c r="D18" s="1068">
        <f t="shared" ref="D18:AC18" si="5">SUM(D19:D21)</f>
        <v>121092</v>
      </c>
      <c r="E18" s="1068">
        <f t="shared" si="5"/>
        <v>121092</v>
      </c>
      <c r="F18" s="1068">
        <f t="shared" si="5"/>
        <v>91758</v>
      </c>
      <c r="G18" s="1068">
        <f t="shared" si="5"/>
        <v>121092</v>
      </c>
      <c r="H18" s="1068">
        <f t="shared" si="5"/>
        <v>121092</v>
      </c>
      <c r="I18" s="1068">
        <f t="shared" si="5"/>
        <v>6401</v>
      </c>
      <c r="J18" s="1068">
        <f t="shared" si="5"/>
        <v>6401</v>
      </c>
      <c r="K18" s="1068">
        <f t="shared" si="5"/>
        <v>6401</v>
      </c>
      <c r="L18" s="1068">
        <f t="shared" si="5"/>
        <v>0</v>
      </c>
      <c r="M18" s="1068">
        <f t="shared" si="5"/>
        <v>0</v>
      </c>
      <c r="N18" s="1068">
        <f t="shared" si="5"/>
        <v>0</v>
      </c>
      <c r="O18" s="1068">
        <f t="shared" si="5"/>
        <v>0</v>
      </c>
      <c r="P18" s="1068">
        <f t="shared" si="5"/>
        <v>0</v>
      </c>
      <c r="Q18" s="1068">
        <f t="shared" si="5"/>
        <v>0</v>
      </c>
      <c r="R18" s="1068">
        <f t="shared" si="5"/>
        <v>0</v>
      </c>
      <c r="S18" s="1068">
        <f t="shared" si="5"/>
        <v>0</v>
      </c>
      <c r="T18" s="1068">
        <f t="shared" si="5"/>
        <v>0</v>
      </c>
      <c r="U18" s="1068">
        <f t="shared" si="5"/>
        <v>0</v>
      </c>
      <c r="V18" s="1068">
        <f t="shared" si="5"/>
        <v>0</v>
      </c>
      <c r="W18" s="1068">
        <f t="shared" si="5"/>
        <v>0</v>
      </c>
      <c r="X18" s="1068">
        <f t="shared" si="5"/>
        <v>0</v>
      </c>
      <c r="Y18" s="1250"/>
      <c r="Z18" s="1068">
        <f t="shared" si="5"/>
        <v>0</v>
      </c>
      <c r="AA18" s="1068">
        <f t="shared" si="5"/>
        <v>0</v>
      </c>
      <c r="AB18" s="1068">
        <f t="shared" si="5"/>
        <v>0</v>
      </c>
      <c r="AC18" s="1068">
        <f t="shared" si="5"/>
        <v>0</v>
      </c>
      <c r="AD18" s="1071">
        <f t="shared" si="0"/>
        <v>85357</v>
      </c>
      <c r="AE18" s="1071">
        <f t="shared" si="1"/>
        <v>114691</v>
      </c>
      <c r="AF18" s="1071">
        <f t="shared" si="2"/>
        <v>114691</v>
      </c>
      <c r="AG18" s="1070"/>
      <c r="AH18" s="1061"/>
      <c r="AI18" s="1061"/>
    </row>
    <row r="19" spans="1:35" s="1062" customFormat="1" ht="20.25" customHeight="1">
      <c r="A19" s="1247" t="s">
        <v>1478</v>
      </c>
      <c r="B19" s="1067"/>
      <c r="C19" s="1073">
        <v>74549</v>
      </c>
      <c r="D19" s="1073">
        <v>103883</v>
      </c>
      <c r="E19" s="1073">
        <v>103883</v>
      </c>
      <c r="F19" s="1073">
        <v>74549</v>
      </c>
      <c r="G19" s="1073">
        <f t="shared" ref="G19:G20" si="6">SUM(D19)</f>
        <v>103883</v>
      </c>
      <c r="H19" s="1073">
        <f t="shared" ref="H19:H20" si="7">SUM(E19)</f>
        <v>103883</v>
      </c>
      <c r="I19" s="1049">
        <v>5201</v>
      </c>
      <c r="J19" s="1049">
        <v>5201</v>
      </c>
      <c r="K19" s="1049">
        <v>5201</v>
      </c>
      <c r="L19" s="1049"/>
      <c r="M19" s="1054"/>
      <c r="N19" s="1054"/>
      <c r="O19" s="1049"/>
      <c r="P19" s="1054"/>
      <c r="Q19" s="1054"/>
      <c r="R19" s="1049"/>
      <c r="S19" s="1054"/>
      <c r="T19" s="1054"/>
      <c r="U19" s="1049"/>
      <c r="V19" s="1174"/>
      <c r="W19" s="1174"/>
      <c r="X19" s="1049"/>
      <c r="Y19" s="1174"/>
      <c r="Z19" s="1049"/>
      <c r="AA19" s="1049"/>
      <c r="AB19" s="1042"/>
      <c r="AC19" s="1042"/>
      <c r="AD19" s="1043">
        <f t="shared" si="0"/>
        <v>69348</v>
      </c>
      <c r="AE19" s="1043">
        <f t="shared" si="1"/>
        <v>98682</v>
      </c>
      <c r="AF19" s="1043">
        <f t="shared" si="2"/>
        <v>98682</v>
      </c>
      <c r="AG19" s="1070"/>
      <c r="AH19" s="1061"/>
      <c r="AI19" s="1061"/>
    </row>
    <row r="20" spans="1:35" s="1062" customFormat="1" ht="20.25" customHeight="1">
      <c r="A20" s="1247" t="s">
        <v>1479</v>
      </c>
      <c r="B20" s="1067"/>
      <c r="C20" s="1073">
        <v>15240</v>
      </c>
      <c r="D20" s="1073">
        <v>15240</v>
      </c>
      <c r="E20" s="1073">
        <v>15240</v>
      </c>
      <c r="F20" s="1073">
        <v>15240</v>
      </c>
      <c r="G20" s="1073">
        <f t="shared" si="6"/>
        <v>15240</v>
      </c>
      <c r="H20" s="1073">
        <f t="shared" si="7"/>
        <v>15240</v>
      </c>
      <c r="I20" s="1049">
        <v>1063</v>
      </c>
      <c r="J20" s="1049">
        <v>1063</v>
      </c>
      <c r="K20" s="1049">
        <v>1063</v>
      </c>
      <c r="L20" s="1049"/>
      <c r="M20" s="1054"/>
      <c r="N20" s="1054"/>
      <c r="O20" s="1049"/>
      <c r="P20" s="1054"/>
      <c r="Q20" s="1054"/>
      <c r="R20" s="1049"/>
      <c r="S20" s="1054"/>
      <c r="T20" s="1054"/>
      <c r="U20" s="1049"/>
      <c r="V20" s="1174"/>
      <c r="W20" s="1174"/>
      <c r="X20" s="1049"/>
      <c r="Y20" s="1174"/>
      <c r="Z20" s="1049"/>
      <c r="AA20" s="1049"/>
      <c r="AB20" s="1042"/>
      <c r="AC20" s="1042"/>
      <c r="AD20" s="1043">
        <f t="shared" si="0"/>
        <v>14177</v>
      </c>
      <c r="AE20" s="1043">
        <f t="shared" si="1"/>
        <v>14177</v>
      </c>
      <c r="AF20" s="1043">
        <f t="shared" si="2"/>
        <v>14177</v>
      </c>
      <c r="AG20" s="1070"/>
      <c r="AH20" s="1061"/>
      <c r="AI20" s="1061"/>
    </row>
    <row r="21" spans="1:35" s="1062" customFormat="1" ht="20.25" customHeight="1">
      <c r="A21" s="1247" t="s">
        <v>1480</v>
      </c>
      <c r="B21" s="1067"/>
      <c r="C21" s="1073">
        <v>1969</v>
      </c>
      <c r="D21" s="1073">
        <v>1969</v>
      </c>
      <c r="E21" s="1073">
        <v>1969</v>
      </c>
      <c r="F21" s="1073">
        <v>1969</v>
      </c>
      <c r="G21" s="1073">
        <f>SUM(D21)</f>
        <v>1969</v>
      </c>
      <c r="H21" s="1073">
        <f>SUM(E21)</f>
        <v>1969</v>
      </c>
      <c r="I21" s="1049">
        <v>137</v>
      </c>
      <c r="J21" s="1049">
        <v>137</v>
      </c>
      <c r="K21" s="1049">
        <v>137</v>
      </c>
      <c r="L21" s="1049"/>
      <c r="M21" s="1054"/>
      <c r="N21" s="1054"/>
      <c r="O21" s="1049"/>
      <c r="P21" s="1054"/>
      <c r="Q21" s="1054"/>
      <c r="R21" s="1049"/>
      <c r="S21" s="1054"/>
      <c r="T21" s="1054"/>
      <c r="U21" s="1049"/>
      <c r="V21" s="1174"/>
      <c r="W21" s="1174"/>
      <c r="X21" s="1049"/>
      <c r="Y21" s="1174"/>
      <c r="Z21" s="1049"/>
      <c r="AA21" s="1049"/>
      <c r="AB21" s="1042"/>
      <c r="AC21" s="1042"/>
      <c r="AD21" s="1043">
        <f t="shared" si="0"/>
        <v>1832</v>
      </c>
      <c r="AE21" s="1043">
        <f t="shared" si="1"/>
        <v>1832</v>
      </c>
      <c r="AF21" s="1043">
        <f t="shared" si="2"/>
        <v>1832</v>
      </c>
      <c r="AG21" s="1070"/>
      <c r="AH21" s="1061"/>
      <c r="AI21" s="1061"/>
    </row>
    <row r="22" spans="1:35" s="1080" customFormat="1" ht="20.25" customHeight="1">
      <c r="A22" s="1233" t="s">
        <v>1481</v>
      </c>
      <c r="B22" s="1076"/>
      <c r="C22" s="1068">
        <v>266641</v>
      </c>
      <c r="D22" s="1069">
        <v>286009</v>
      </c>
      <c r="E22" s="1069">
        <v>286009</v>
      </c>
      <c r="F22" s="1068">
        <v>266641</v>
      </c>
      <c r="G22" s="1069">
        <f>SUM(D22)</f>
        <v>286009</v>
      </c>
      <c r="H22" s="1069">
        <f>SUM(E22)</f>
        <v>286009</v>
      </c>
      <c r="I22" s="1077">
        <f>SUM('5.1. sz. mell. '!D17+'5.2. sz. mell.  '!D17+'5.3 sz. mell'!D17+'5.4. sz mell'!D17)</f>
        <v>249535</v>
      </c>
      <c r="J22" s="1077">
        <f>SUM('5.1. sz. mell. '!E17+'5.2. sz. mell.  '!E17+'5.3 sz. mell'!E17+'5.4. sz mell'!E17)</f>
        <v>260312</v>
      </c>
      <c r="K22" s="1077">
        <f>SUM('5.1. sz. mell. '!F17+'5.2. sz. mell.  '!F17+'5.3 sz. mell'!F17+'5.4. sz mell'!F17)</f>
        <v>260312</v>
      </c>
      <c r="L22" s="1077"/>
      <c r="M22" s="1085"/>
      <c r="N22" s="1085"/>
      <c r="O22" s="1077"/>
      <c r="P22" s="1085"/>
      <c r="Q22" s="1085">
        <f>SUM('5.1. sz. mell. '!F8+'5.2. sz. mell.  '!F8+'5.3 sz. mell'!F8+'5.4. sz mell'!F8)</f>
        <v>29</v>
      </c>
      <c r="R22" s="1077"/>
      <c r="S22" s="1085"/>
      <c r="T22" s="1085"/>
      <c r="U22" s="1077"/>
      <c r="V22" s="1175"/>
      <c r="W22" s="1175"/>
      <c r="X22" s="1077"/>
      <c r="Y22" s="1175"/>
      <c r="Z22" s="1077"/>
      <c r="AA22" s="1077"/>
      <c r="AB22" s="1088">
        <v>487</v>
      </c>
      <c r="AC22" s="1088">
        <v>487</v>
      </c>
      <c r="AD22" s="1071">
        <f t="shared" si="0"/>
        <v>17106</v>
      </c>
      <c r="AE22" s="1071">
        <f>SUM(G22-J22-M22-P22-S22-X22-Z22-AB22)</f>
        <v>25210</v>
      </c>
      <c r="AF22" s="1071">
        <f t="shared" si="2"/>
        <v>25181</v>
      </c>
      <c r="AG22" s="1078"/>
      <c r="AH22" s="1079"/>
      <c r="AI22" s="1079"/>
    </row>
    <row r="23" spans="1:35" s="1080" customFormat="1" ht="20.25" customHeight="1">
      <c r="A23" s="1039" t="s">
        <v>1482</v>
      </c>
      <c r="B23" s="1076"/>
      <c r="C23" s="1068">
        <f>SUM(C24:C27)</f>
        <v>129328</v>
      </c>
      <c r="D23" s="1068">
        <f t="shared" ref="D23:AC23" si="8">SUM(D24:D27)</f>
        <v>137007</v>
      </c>
      <c r="E23" s="1068">
        <f>SUM(E24:E27)</f>
        <v>137007</v>
      </c>
      <c r="F23" s="1068">
        <f t="shared" si="8"/>
        <v>129328</v>
      </c>
      <c r="G23" s="1068">
        <f t="shared" si="8"/>
        <v>137007</v>
      </c>
      <c r="H23" s="1068">
        <f t="shared" si="8"/>
        <v>137007</v>
      </c>
      <c r="I23" s="1068">
        <f t="shared" si="8"/>
        <v>23226</v>
      </c>
      <c r="J23" s="1068">
        <f t="shared" si="8"/>
        <v>25450</v>
      </c>
      <c r="K23" s="1068">
        <f t="shared" si="8"/>
        <v>25450</v>
      </c>
      <c r="L23" s="1068">
        <f t="shared" si="8"/>
        <v>0</v>
      </c>
      <c r="M23" s="1068">
        <f t="shared" si="8"/>
        <v>0</v>
      </c>
      <c r="N23" s="1068">
        <f t="shared" si="8"/>
        <v>0</v>
      </c>
      <c r="O23" s="1068">
        <f t="shared" si="8"/>
        <v>10718</v>
      </c>
      <c r="P23" s="1068">
        <f t="shared" si="8"/>
        <v>12120</v>
      </c>
      <c r="Q23" s="1068">
        <f t="shared" si="8"/>
        <v>12120</v>
      </c>
      <c r="R23" s="1068">
        <f t="shared" si="8"/>
        <v>0</v>
      </c>
      <c r="S23" s="1068">
        <f t="shared" si="8"/>
        <v>0</v>
      </c>
      <c r="T23" s="1068">
        <f t="shared" si="8"/>
        <v>0</v>
      </c>
      <c r="U23" s="1068">
        <f t="shared" si="8"/>
        <v>0</v>
      </c>
      <c r="V23" s="1068">
        <f t="shared" si="8"/>
        <v>3842</v>
      </c>
      <c r="W23" s="1068">
        <f t="shared" si="8"/>
        <v>3842</v>
      </c>
      <c r="X23" s="1068">
        <f t="shared" si="8"/>
        <v>0</v>
      </c>
      <c r="Y23" s="1250"/>
      <c r="Z23" s="1068">
        <f t="shared" si="8"/>
        <v>0</v>
      </c>
      <c r="AA23" s="1068">
        <f t="shared" si="8"/>
        <v>0</v>
      </c>
      <c r="AB23" s="1068">
        <f t="shared" si="8"/>
        <v>303</v>
      </c>
      <c r="AC23" s="1068">
        <f t="shared" si="8"/>
        <v>303</v>
      </c>
      <c r="AD23" s="1071">
        <f t="shared" si="0"/>
        <v>95384</v>
      </c>
      <c r="AE23" s="1071">
        <f>SUM(G23-J23-M23-P23-S23-X23-Z23-AB23)</f>
        <v>99134</v>
      </c>
      <c r="AF23" s="1071">
        <f t="shared" si="2"/>
        <v>95292</v>
      </c>
      <c r="AG23" s="1078"/>
      <c r="AH23" s="1079"/>
      <c r="AI23" s="1079"/>
    </row>
    <row r="24" spans="1:35" s="1062" customFormat="1" ht="20.25" customHeight="1">
      <c r="A24" s="1072" t="s">
        <v>1483</v>
      </c>
      <c r="B24" s="1067"/>
      <c r="C24" s="1073">
        <v>31724</v>
      </c>
      <c r="D24" s="1074">
        <f>SUM('5.8. sz. mell.'!E45)</f>
        <v>28202</v>
      </c>
      <c r="E24" s="1074">
        <f>SUM('5.8. sz. mell.'!F45)</f>
        <v>28202</v>
      </c>
      <c r="F24" s="1073">
        <v>31724</v>
      </c>
      <c r="G24" s="1074">
        <f>SUM('5.8. sz. mell.'!E29)</f>
        <v>28202</v>
      </c>
      <c r="H24" s="1074">
        <f>SUM('5.8. sz. mell.'!F29)</f>
        <v>28202</v>
      </c>
      <c r="I24" s="1049">
        <f>SUM('5.8. sz. mell.'!D17)</f>
        <v>11613</v>
      </c>
      <c r="J24" s="1049">
        <f>SUM('5.8. sz. mell.'!E17)</f>
        <v>13029</v>
      </c>
      <c r="K24" s="1049">
        <f>SUM('5.8. sz. mell.'!F17)</f>
        <v>13029</v>
      </c>
      <c r="L24" s="1049"/>
      <c r="M24" s="1054"/>
      <c r="N24" s="1054"/>
      <c r="O24" s="1049">
        <f>SUM('5.8. sz. mell.'!D8)</f>
        <v>685</v>
      </c>
      <c r="P24" s="1049">
        <f>SUM('5.8. sz. mell.'!E8)</f>
        <v>876</v>
      </c>
      <c r="Q24" s="1049">
        <f>SUM('5.8. sz. mell.'!F8)</f>
        <v>876</v>
      </c>
      <c r="R24" s="1049"/>
      <c r="S24" s="1054"/>
      <c r="T24" s="1054"/>
      <c r="U24" s="1049"/>
      <c r="V24" s="1174"/>
      <c r="W24" s="1174"/>
      <c r="X24" s="1049"/>
      <c r="Y24" s="1174"/>
      <c r="Z24" s="1049"/>
      <c r="AA24" s="1049"/>
      <c r="AB24" s="1042">
        <v>67</v>
      </c>
      <c r="AC24" s="1042">
        <v>67</v>
      </c>
      <c r="AD24" s="1043">
        <f t="shared" si="0"/>
        <v>19426</v>
      </c>
      <c r="AE24" s="1043">
        <f>SUM(G24-J24-M24-P24-S24-X24-Z24-AB24)</f>
        <v>14230</v>
      </c>
      <c r="AF24" s="1043">
        <f t="shared" si="2"/>
        <v>14230</v>
      </c>
      <c r="AG24" s="1070"/>
      <c r="AH24" s="1061"/>
      <c r="AI24" s="1061"/>
    </row>
    <row r="25" spans="1:35" s="1062" customFormat="1" ht="20.25" customHeight="1">
      <c r="A25" s="1072" t="s">
        <v>1484</v>
      </c>
      <c r="B25" s="1067"/>
      <c r="C25" s="1073">
        <v>0</v>
      </c>
      <c r="D25" s="1073">
        <v>0</v>
      </c>
      <c r="E25" s="1073">
        <v>0</v>
      </c>
      <c r="F25" s="1073">
        <v>0</v>
      </c>
      <c r="G25" s="1073">
        <v>0</v>
      </c>
      <c r="H25" s="1073">
        <v>0</v>
      </c>
      <c r="I25" s="1049"/>
      <c r="J25" s="1054"/>
      <c r="K25" s="1054"/>
      <c r="L25" s="1049"/>
      <c r="M25" s="1054"/>
      <c r="N25" s="1054"/>
      <c r="O25" s="1049"/>
      <c r="P25" s="1054"/>
      <c r="Q25" s="1054"/>
      <c r="R25" s="1049"/>
      <c r="S25" s="1054"/>
      <c r="T25" s="1054"/>
      <c r="U25" s="1049"/>
      <c r="V25" s="1174"/>
      <c r="W25" s="1174"/>
      <c r="X25" s="1049"/>
      <c r="Y25" s="1174"/>
      <c r="Z25" s="1049"/>
      <c r="AA25" s="1049"/>
      <c r="AB25" s="1042"/>
      <c r="AC25" s="1042"/>
      <c r="AD25" s="1043">
        <f t="shared" si="0"/>
        <v>0</v>
      </c>
      <c r="AE25" s="1043">
        <f t="shared" ref="AE25:AE26" si="9">SUM(G25-J25-M25-P25-S25-X25-Z25-AB25)</f>
        <v>0</v>
      </c>
      <c r="AF25" s="1071">
        <f t="shared" si="2"/>
        <v>0</v>
      </c>
      <c r="AG25" s="1070"/>
      <c r="AH25" s="1061"/>
      <c r="AI25" s="1061"/>
    </row>
    <row r="26" spans="1:35" s="1062" customFormat="1" ht="20.25" customHeight="1">
      <c r="A26" s="1072" t="s">
        <v>1485</v>
      </c>
      <c r="B26" s="1067"/>
      <c r="C26" s="1073">
        <v>0</v>
      </c>
      <c r="D26" s="1073">
        <v>0</v>
      </c>
      <c r="E26" s="1073">
        <v>0</v>
      </c>
      <c r="F26" s="1073">
        <v>0</v>
      </c>
      <c r="G26" s="1073">
        <v>0</v>
      </c>
      <c r="H26" s="1073">
        <v>0</v>
      </c>
      <c r="I26" s="1049"/>
      <c r="J26" s="1054"/>
      <c r="K26" s="1054"/>
      <c r="L26" s="1049"/>
      <c r="M26" s="1054"/>
      <c r="N26" s="1054"/>
      <c r="O26" s="1049"/>
      <c r="P26" s="1054"/>
      <c r="Q26" s="1054"/>
      <c r="R26" s="1049"/>
      <c r="S26" s="1054"/>
      <c r="T26" s="1054"/>
      <c r="U26" s="1049"/>
      <c r="V26" s="1174"/>
      <c r="W26" s="1174"/>
      <c r="X26" s="1049"/>
      <c r="Y26" s="1174"/>
      <c r="Z26" s="1049"/>
      <c r="AA26" s="1049"/>
      <c r="AB26" s="1042"/>
      <c r="AC26" s="1042"/>
      <c r="AD26" s="1043">
        <f t="shared" si="0"/>
        <v>0</v>
      </c>
      <c r="AE26" s="1043">
        <f t="shared" si="9"/>
        <v>0</v>
      </c>
      <c r="AF26" s="1071">
        <f t="shared" si="2"/>
        <v>0</v>
      </c>
      <c r="AG26" s="1070"/>
      <c r="AH26" s="1061"/>
      <c r="AI26" s="1061"/>
    </row>
    <row r="27" spans="1:35" s="1062" customFormat="1" ht="20.25" customHeight="1">
      <c r="A27" s="1072" t="s">
        <v>1486</v>
      </c>
      <c r="B27" s="1067"/>
      <c r="C27" s="1073">
        <v>97604</v>
      </c>
      <c r="D27" s="1074">
        <f>SUM('5.7. sz. mell.'!E46)</f>
        <v>108805</v>
      </c>
      <c r="E27" s="1074">
        <f>SUM('5.7. sz. mell.'!F46)</f>
        <v>108805</v>
      </c>
      <c r="F27" s="1073">
        <v>97604</v>
      </c>
      <c r="G27" s="1074">
        <f>SUM('5.7. sz. mell.'!E29)</f>
        <v>108805</v>
      </c>
      <c r="H27" s="1074">
        <f>SUM('5.7. sz. mell.'!F29)</f>
        <v>108805</v>
      </c>
      <c r="I27" s="1049">
        <f>SUM('5.7. sz. mell.'!D18)</f>
        <v>11613</v>
      </c>
      <c r="J27" s="1049">
        <f>SUM('5.7. sz. mell.'!E18)</f>
        <v>12421</v>
      </c>
      <c r="K27" s="1049">
        <f>SUM('5.7. sz. mell.'!F18)</f>
        <v>12421</v>
      </c>
      <c r="L27" s="1049"/>
      <c r="M27" s="1054"/>
      <c r="N27" s="1054"/>
      <c r="O27" s="1049">
        <f>SUM('5.7. sz. mell.'!D8)</f>
        <v>10033</v>
      </c>
      <c r="P27" s="1049">
        <f>SUM('5.7. sz. mell.'!E8)</f>
        <v>11244</v>
      </c>
      <c r="Q27" s="1049">
        <f>SUM('5.7. sz. mell.'!F8)</f>
        <v>11244</v>
      </c>
      <c r="R27" s="1049">
        <f>SUM('5.7. sz. mell.'!D20)</f>
        <v>0</v>
      </c>
      <c r="S27" s="1049">
        <f>SUM('5.7. sz. mell.'!E20)</f>
        <v>0</v>
      </c>
      <c r="T27" s="1049">
        <f>SUM('5.7. sz. mell.'!F20)</f>
        <v>0</v>
      </c>
      <c r="U27" s="1049">
        <f>SUM('5.7. sz. mell.'!D19)</f>
        <v>0</v>
      </c>
      <c r="V27" s="1049">
        <f>SUM('5.7. sz. mell.'!E19)</f>
        <v>3842</v>
      </c>
      <c r="W27" s="1049">
        <f>SUM('5.7. sz. mell.'!F19)</f>
        <v>3842</v>
      </c>
      <c r="X27" s="1049"/>
      <c r="Y27" s="1174"/>
      <c r="Z27" s="1049"/>
      <c r="AA27" s="1049"/>
      <c r="AB27" s="1042">
        <v>236</v>
      </c>
      <c r="AC27" s="1042">
        <v>236</v>
      </c>
      <c r="AD27" s="1043">
        <f t="shared" si="0"/>
        <v>75958</v>
      </c>
      <c r="AE27" s="1043">
        <f t="shared" ref="AE27:AE45" si="10">SUM(G27-J27-M27-P27-S27-X27-Z27-AB27)</f>
        <v>84904</v>
      </c>
      <c r="AF27" s="1043">
        <f t="shared" si="2"/>
        <v>81062</v>
      </c>
      <c r="AG27" s="1070"/>
      <c r="AH27" s="1061"/>
      <c r="AI27" s="1061"/>
    </row>
    <row r="28" spans="1:35" s="1062" customFormat="1" ht="20.25" customHeight="1">
      <c r="A28" s="1039" t="s">
        <v>1487</v>
      </c>
      <c r="B28" s="1067"/>
      <c r="C28" s="1068">
        <f>SUM(C29:C33)</f>
        <v>469456</v>
      </c>
      <c r="D28" s="1068">
        <f t="shared" ref="D28:AC28" si="11">SUM(D29:D33)</f>
        <v>424983</v>
      </c>
      <c r="E28" s="1068">
        <f t="shared" si="11"/>
        <v>422983</v>
      </c>
      <c r="F28" s="1068">
        <f t="shared" si="11"/>
        <v>469456</v>
      </c>
      <c r="G28" s="1068">
        <f t="shared" si="11"/>
        <v>424983</v>
      </c>
      <c r="H28" s="1068">
        <f t="shared" si="11"/>
        <v>423103</v>
      </c>
      <c r="I28" s="1068">
        <f t="shared" si="11"/>
        <v>169541</v>
      </c>
      <c r="J28" s="1068">
        <f t="shared" si="11"/>
        <v>100965</v>
      </c>
      <c r="K28" s="1068">
        <f t="shared" si="11"/>
        <v>100965</v>
      </c>
      <c r="L28" s="1068">
        <f t="shared" si="11"/>
        <v>0</v>
      </c>
      <c r="M28" s="1068">
        <f t="shared" si="11"/>
        <v>0</v>
      </c>
      <c r="N28" s="1068">
        <f t="shared" si="11"/>
        <v>0</v>
      </c>
      <c r="O28" s="1068">
        <f t="shared" si="11"/>
        <v>208275</v>
      </c>
      <c r="P28" s="1068">
        <f t="shared" si="11"/>
        <v>218480</v>
      </c>
      <c r="Q28" s="1068">
        <f t="shared" si="11"/>
        <v>218480</v>
      </c>
      <c r="R28" s="1068">
        <f t="shared" si="11"/>
        <v>5248</v>
      </c>
      <c r="S28" s="1068">
        <f t="shared" si="11"/>
        <v>1162</v>
      </c>
      <c r="T28" s="1068">
        <f t="shared" si="11"/>
        <v>1162</v>
      </c>
      <c r="U28" s="1068">
        <f t="shared" si="11"/>
        <v>0</v>
      </c>
      <c r="V28" s="1068">
        <f t="shared" si="11"/>
        <v>0</v>
      </c>
      <c r="W28" s="1068">
        <f t="shared" si="11"/>
        <v>0</v>
      </c>
      <c r="X28" s="1068">
        <f t="shared" si="11"/>
        <v>0</v>
      </c>
      <c r="Y28" s="1250"/>
      <c r="Z28" s="1068">
        <f t="shared" si="11"/>
        <v>0</v>
      </c>
      <c r="AA28" s="1068">
        <f t="shared" si="11"/>
        <v>0</v>
      </c>
      <c r="AB28" s="1068">
        <f t="shared" si="11"/>
        <v>9141</v>
      </c>
      <c r="AC28" s="1068">
        <f t="shared" si="11"/>
        <v>9141</v>
      </c>
      <c r="AD28" s="1071">
        <f t="shared" si="0"/>
        <v>86392</v>
      </c>
      <c r="AE28" s="1071">
        <f t="shared" si="10"/>
        <v>95235</v>
      </c>
      <c r="AF28" s="1071">
        <f t="shared" si="2"/>
        <v>93355</v>
      </c>
      <c r="AG28" s="1078"/>
      <c r="AH28" s="1061"/>
      <c r="AI28" s="1061"/>
    </row>
    <row r="29" spans="1:35" s="1062" customFormat="1" ht="20.25" customHeight="1">
      <c r="A29" s="1081" t="s">
        <v>1513</v>
      </c>
      <c r="B29" s="1067"/>
      <c r="C29" s="1073">
        <v>57643</v>
      </c>
      <c r="D29" s="1074">
        <f>SUM('5.6. sz. mell'!E45)</f>
        <v>51703</v>
      </c>
      <c r="E29" s="1074">
        <f>SUM('5.6. sz. mell'!F45)</f>
        <v>51703</v>
      </c>
      <c r="F29" s="1073">
        <v>57643</v>
      </c>
      <c r="G29" s="1074">
        <f>SUM('5.6. sz. mell'!E29)</f>
        <v>51703</v>
      </c>
      <c r="H29" s="1074">
        <f>SUM('5.6. sz. mell'!F29)</f>
        <v>51703</v>
      </c>
      <c r="I29" s="1049">
        <f>SUM('5.6. sz. mell'!D18)</f>
        <v>23819</v>
      </c>
      <c r="J29" s="1049">
        <f>SUM('5.6. sz. mell'!E18)</f>
        <v>24665</v>
      </c>
      <c r="K29" s="1049">
        <f>SUM('5.6. sz. mell'!F18)</f>
        <v>24665</v>
      </c>
      <c r="L29" s="1049"/>
      <c r="M29" s="1054"/>
      <c r="N29" s="1054"/>
      <c r="O29" s="1049">
        <f>SUM('5.6. sz. mell'!D8)</f>
        <v>6917</v>
      </c>
      <c r="P29" s="1049">
        <f>SUM('5.6. sz. mell'!E8)</f>
        <v>8823</v>
      </c>
      <c r="Q29" s="1049">
        <f>SUM('5.6. sz. mell'!F8)</f>
        <v>8823</v>
      </c>
      <c r="R29" s="1049"/>
      <c r="S29" s="1054"/>
      <c r="T29" s="1054"/>
      <c r="U29" s="1049"/>
      <c r="V29" s="1174"/>
      <c r="W29" s="1174"/>
      <c r="X29" s="1049"/>
      <c r="Y29" s="1174"/>
      <c r="Z29" s="1049"/>
      <c r="AA29" s="1049"/>
      <c r="AB29" s="1042">
        <v>97</v>
      </c>
      <c r="AC29" s="1042">
        <v>97</v>
      </c>
      <c r="AD29" s="1043">
        <f t="shared" si="0"/>
        <v>26907</v>
      </c>
      <c r="AE29" s="1043">
        <f t="shared" si="10"/>
        <v>18118</v>
      </c>
      <c r="AF29" s="1043">
        <f t="shared" si="2"/>
        <v>18118</v>
      </c>
      <c r="AG29" s="1070"/>
      <c r="AH29" s="1061"/>
      <c r="AI29" s="1061"/>
    </row>
    <row r="30" spans="1:35" s="1062" customFormat="1" ht="20.25" customHeight="1">
      <c r="A30" s="1249" t="s">
        <v>1514</v>
      </c>
      <c r="B30" s="1067"/>
      <c r="C30" s="1073">
        <v>42273</v>
      </c>
      <c r="D30" s="1074">
        <v>44204</v>
      </c>
      <c r="E30" s="1074">
        <v>44204</v>
      </c>
      <c r="F30" s="1073">
        <v>42273</v>
      </c>
      <c r="G30" s="1074">
        <f>SUM(D30)</f>
        <v>44204</v>
      </c>
      <c r="H30" s="1074">
        <f>SUM(E30)</f>
        <v>44204</v>
      </c>
      <c r="I30" s="1049">
        <f>SUM('5.10. sz. mell.'!D18)</f>
        <v>12768</v>
      </c>
      <c r="J30" s="1049">
        <f>SUM('5.10. sz. mell.'!E18)</f>
        <v>13625</v>
      </c>
      <c r="K30" s="1049">
        <f>SUM('5.10. sz. mell.'!F18)</f>
        <v>13625</v>
      </c>
      <c r="L30" s="1049"/>
      <c r="M30" s="1054"/>
      <c r="N30" s="1054"/>
      <c r="O30" s="1049">
        <f>SUM('5.10. sz. mell.'!D8)</f>
        <v>4119</v>
      </c>
      <c r="P30" s="1049">
        <f>SUM('5.10. sz. mell.'!E8)</f>
        <v>4277</v>
      </c>
      <c r="Q30" s="1049">
        <f>SUM('5.10. sz. mell.'!F8)</f>
        <v>4277</v>
      </c>
      <c r="R30" s="1049">
        <f>SUM('5.10. sz. mell.'!D21)</f>
        <v>2324</v>
      </c>
      <c r="S30" s="1049">
        <f>SUM('5.10. sz. mell.'!E21)</f>
        <v>1162</v>
      </c>
      <c r="T30" s="1049">
        <f>SUM('5.10. sz. mell.'!F21)</f>
        <v>1162</v>
      </c>
      <c r="U30" s="1049"/>
      <c r="V30" s="1174"/>
      <c r="W30" s="1174"/>
      <c r="X30" s="1049"/>
      <c r="Y30" s="1174"/>
      <c r="Z30" s="1049"/>
      <c r="AA30" s="1049"/>
      <c r="AB30" s="1042">
        <v>16</v>
      </c>
      <c r="AC30" s="1042">
        <v>16</v>
      </c>
      <c r="AD30" s="1043">
        <f t="shared" si="0"/>
        <v>23062</v>
      </c>
      <c r="AE30" s="1043">
        <f t="shared" si="10"/>
        <v>25124</v>
      </c>
      <c r="AF30" s="1043">
        <f t="shared" si="2"/>
        <v>25124</v>
      </c>
      <c r="AG30" s="1070"/>
      <c r="AH30" s="1061"/>
      <c r="AI30" s="1061"/>
    </row>
    <row r="31" spans="1:35" s="1775" customFormat="1" ht="20.25" customHeight="1">
      <c r="A31" s="1249" t="s">
        <v>1515</v>
      </c>
      <c r="B31" s="1769"/>
      <c r="C31" s="1073">
        <v>93703</v>
      </c>
      <c r="D31" s="1073">
        <f>SUM('5.9. sz. mell. '!E47)</f>
        <v>0</v>
      </c>
      <c r="E31" s="1073">
        <f>SUM('5.9. sz. mell. '!F47)</f>
        <v>0</v>
      </c>
      <c r="F31" s="1073">
        <v>93703</v>
      </c>
      <c r="G31" s="1073">
        <f>SUM('5.9. sz. mell. '!E31)</f>
        <v>0</v>
      </c>
      <c r="H31" s="1073">
        <f>SUM('5.9. sz. mell. '!F31)</f>
        <v>0</v>
      </c>
      <c r="I31" s="1770">
        <f>SUM('5.9. sz. mell. '!D18)</f>
        <v>72598</v>
      </c>
      <c r="J31" s="1770">
        <f>SUM('5.9. sz. mell. '!E18)</f>
        <v>0</v>
      </c>
      <c r="K31" s="1770">
        <f>SUM('5.9. sz. mell. '!F18)</f>
        <v>0</v>
      </c>
      <c r="L31" s="1770"/>
      <c r="M31" s="1771"/>
      <c r="N31" s="1771"/>
      <c r="O31" s="1770"/>
      <c r="P31" s="1771"/>
      <c r="Q31" s="1771"/>
      <c r="R31" s="1770">
        <f>SUM('5.9. sz. mell. '!D23)</f>
        <v>2924</v>
      </c>
      <c r="S31" s="1770">
        <f>SUM('5.9. sz. mell. '!E23)</f>
        <v>0</v>
      </c>
      <c r="T31" s="1770">
        <f>SUM('5.9. sz. mell. '!F23)</f>
        <v>0</v>
      </c>
      <c r="U31" s="1770"/>
      <c r="V31" s="1772"/>
      <c r="W31" s="1772"/>
      <c r="X31" s="1770"/>
      <c r="Y31" s="1772"/>
      <c r="Z31" s="1770"/>
      <c r="AA31" s="1770"/>
      <c r="AB31" s="1773">
        <v>0</v>
      </c>
      <c r="AC31" s="1773">
        <v>0</v>
      </c>
      <c r="AD31" s="1043">
        <f>SUM(F31-I31-L31-O31-R31-U31-X31-Z31-AA31)</f>
        <v>18181</v>
      </c>
      <c r="AE31" s="1043">
        <f t="shared" si="10"/>
        <v>0</v>
      </c>
      <c r="AF31" s="1043">
        <f>SUM(H31-K31-N31-Q31-T31-AC31)-W31</f>
        <v>0</v>
      </c>
      <c r="AG31" s="1070"/>
      <c r="AH31" s="1774"/>
      <c r="AI31" s="1774"/>
    </row>
    <row r="32" spans="1:35" s="1062" customFormat="1" ht="20.25" customHeight="1">
      <c r="A32" s="1081" t="s">
        <v>1516</v>
      </c>
      <c r="B32" s="1067"/>
      <c r="C32" s="1073">
        <v>258837</v>
      </c>
      <c r="D32" s="1074">
        <f>SUM('5.5. sz. mell.  '!E45)</f>
        <v>305234</v>
      </c>
      <c r="E32" s="1074">
        <f>SUM('5.5. sz. mell.  '!F45)</f>
        <v>305234</v>
      </c>
      <c r="F32" s="1073">
        <v>258837</v>
      </c>
      <c r="G32" s="1074">
        <f>SUM('5.5. sz. mell.  '!E29)</f>
        <v>305234</v>
      </c>
      <c r="H32" s="1074">
        <f>SUM('5.5. sz. mell.  '!F29)</f>
        <v>305354</v>
      </c>
      <c r="I32" s="1049">
        <f>SUM('5.5. sz. mell.  '!D18)</f>
        <v>45331</v>
      </c>
      <c r="J32" s="1049">
        <f>SUM('5.5. sz. mell.  '!E18)</f>
        <v>47650</v>
      </c>
      <c r="K32" s="1049">
        <f>SUM('5.5. sz. mell.  '!F18)</f>
        <v>47650</v>
      </c>
      <c r="L32" s="1049"/>
      <c r="M32" s="1054"/>
      <c r="N32" s="1054"/>
      <c r="O32" s="1049">
        <f>SUM('5.5. sz. mell.  '!D8)</f>
        <v>197239</v>
      </c>
      <c r="P32" s="1049">
        <f>SUM('5.5. sz. mell.  '!E8)</f>
        <v>205380</v>
      </c>
      <c r="Q32" s="1049">
        <f>SUM('5.5. sz. mell.  '!F8)</f>
        <v>205380</v>
      </c>
      <c r="R32" s="1049"/>
      <c r="S32" s="1054"/>
      <c r="T32" s="1054"/>
      <c r="U32" s="1049"/>
      <c r="V32" s="1174"/>
      <c r="W32" s="1174"/>
      <c r="X32" s="1049"/>
      <c r="Y32" s="1174"/>
      <c r="Z32" s="1049"/>
      <c r="AA32" s="1049"/>
      <c r="AB32" s="1042">
        <v>9028</v>
      </c>
      <c r="AC32" s="1042">
        <v>9028</v>
      </c>
      <c r="AD32" s="1043">
        <f t="shared" si="0"/>
        <v>16267</v>
      </c>
      <c r="AE32" s="1043">
        <f t="shared" si="10"/>
        <v>43176</v>
      </c>
      <c r="AF32" s="1043">
        <f t="shared" si="2"/>
        <v>43296</v>
      </c>
      <c r="AG32" s="1070"/>
      <c r="AH32" s="1061"/>
      <c r="AI32" s="1061"/>
    </row>
    <row r="33" spans="1:35" s="1062" customFormat="1" ht="20.25" customHeight="1">
      <c r="A33" s="1081" t="s">
        <v>1518</v>
      </c>
      <c r="B33" s="1067"/>
      <c r="C33" s="1073">
        <v>17000</v>
      </c>
      <c r="D33" s="1074">
        <f>SUM('3.2.sz.melléklet'!F125)</f>
        <v>23842</v>
      </c>
      <c r="E33" s="1074">
        <f>SUM('3.2.sz.melléklet'!G125)</f>
        <v>21842</v>
      </c>
      <c r="F33" s="1073">
        <v>17000</v>
      </c>
      <c r="G33" s="1074">
        <f t="shared" ref="G33:H36" si="12">SUM(D33)</f>
        <v>23842</v>
      </c>
      <c r="H33" s="1074">
        <f t="shared" si="12"/>
        <v>21842</v>
      </c>
      <c r="I33" s="1049">
        <v>15025</v>
      </c>
      <c r="J33" s="1049">
        <v>15025</v>
      </c>
      <c r="K33" s="1049">
        <v>15025</v>
      </c>
      <c r="L33" s="1049"/>
      <c r="M33" s="1054"/>
      <c r="N33" s="1054"/>
      <c r="O33" s="1049"/>
      <c r="P33" s="1054"/>
      <c r="Q33" s="1054"/>
      <c r="R33" s="1049"/>
      <c r="S33" s="1054"/>
      <c r="T33" s="1054"/>
      <c r="U33" s="1049"/>
      <c r="V33" s="1174"/>
      <c r="W33" s="1174"/>
      <c r="X33" s="1049"/>
      <c r="Y33" s="1174"/>
      <c r="Z33" s="1049"/>
      <c r="AA33" s="1049"/>
      <c r="AB33" s="1042"/>
      <c r="AC33" s="1042"/>
      <c r="AD33" s="1043">
        <f t="shared" si="0"/>
        <v>1975</v>
      </c>
      <c r="AE33" s="1043">
        <f t="shared" si="10"/>
        <v>8817</v>
      </c>
      <c r="AF33" s="1043">
        <f t="shared" si="2"/>
        <v>6817</v>
      </c>
      <c r="AG33" s="1070"/>
      <c r="AH33" s="1061"/>
      <c r="AI33" s="1061"/>
    </row>
    <row r="34" spans="1:35" s="1783" customFormat="1" ht="20.25" customHeight="1">
      <c r="A34" s="1233" t="s">
        <v>1488</v>
      </c>
      <c r="B34" s="1784"/>
      <c r="C34" s="1068">
        <v>15955</v>
      </c>
      <c r="D34" s="1068">
        <f>SUM('3.2.sz.melléklet'!F207+'3.2.sz.melléklet'!F209)</f>
        <v>12686</v>
      </c>
      <c r="E34" s="1068">
        <f>SUM('3.2.sz.melléklet'!G207+'3.2.sz.melléklet'!G209)</f>
        <v>12686</v>
      </c>
      <c r="F34" s="1068">
        <v>15955</v>
      </c>
      <c r="G34" s="1068">
        <f t="shared" si="12"/>
        <v>12686</v>
      </c>
      <c r="H34" s="1068">
        <f>SUM(E34)</f>
        <v>12686</v>
      </c>
      <c r="I34" s="1778"/>
      <c r="J34" s="1785"/>
      <c r="K34" s="1785"/>
      <c r="L34" s="1778"/>
      <c r="M34" s="1785"/>
      <c r="N34" s="1785"/>
      <c r="O34" s="1778">
        <f>SUM('3.1.asz.melléklet'!E18+'3.1.asz.melléklet'!E24)*1.27</f>
        <v>10541</v>
      </c>
      <c r="P34" s="1778">
        <f>SUM('3.1.asz.melléklet'!F18+'3.1.asz.melléklet'!F24)*1.27</f>
        <v>10579.1</v>
      </c>
      <c r="Q34" s="1778">
        <f>SUM('3.1.asz.melléklet'!G18+'3.1.asz.melléklet'!G24)*1.27</f>
        <v>10581.64</v>
      </c>
      <c r="R34" s="1778"/>
      <c r="S34" s="1785"/>
      <c r="T34" s="1785"/>
      <c r="U34" s="1778"/>
      <c r="V34" s="1786"/>
      <c r="W34" s="1786"/>
      <c r="X34" s="1778"/>
      <c r="Y34" s="1786"/>
      <c r="Z34" s="1778"/>
      <c r="AA34" s="1778"/>
      <c r="AB34" s="1782"/>
      <c r="AC34" s="1782"/>
      <c r="AD34" s="1071">
        <f t="shared" si="0"/>
        <v>5414</v>
      </c>
      <c r="AE34" s="1071">
        <f t="shared" si="10"/>
        <v>2106.8999999999996</v>
      </c>
      <c r="AF34" s="1071">
        <f t="shared" si="2"/>
        <v>2104.3600000000006</v>
      </c>
      <c r="AG34" s="1070"/>
      <c r="AH34" s="1787"/>
      <c r="AI34" s="1787"/>
    </row>
    <row r="35" spans="1:35" s="1080" customFormat="1" ht="38.25" customHeight="1">
      <c r="A35" s="1248" t="s">
        <v>1517</v>
      </c>
      <c r="B35" s="1076"/>
      <c r="C35" s="1068">
        <v>2000</v>
      </c>
      <c r="D35" s="1068">
        <v>2000</v>
      </c>
      <c r="E35" s="1068">
        <v>2000</v>
      </c>
      <c r="F35" s="1068">
        <v>2000</v>
      </c>
      <c r="G35" s="1068">
        <f t="shared" si="12"/>
        <v>2000</v>
      </c>
      <c r="H35" s="1068">
        <f t="shared" si="12"/>
        <v>2000</v>
      </c>
      <c r="I35" s="1077"/>
      <c r="J35" s="1085"/>
      <c r="K35" s="1085"/>
      <c r="L35" s="1077"/>
      <c r="M35" s="1085"/>
      <c r="N35" s="1085"/>
      <c r="O35" s="1077"/>
      <c r="P35" s="1085"/>
      <c r="Q35" s="1085"/>
      <c r="R35" s="1077"/>
      <c r="S35" s="1085"/>
      <c r="T35" s="1085"/>
      <c r="U35" s="1077"/>
      <c r="V35" s="1175"/>
      <c r="W35" s="1175"/>
      <c r="X35" s="1077"/>
      <c r="Y35" s="1175"/>
      <c r="Z35" s="1077"/>
      <c r="AA35" s="1077"/>
      <c r="AB35" s="1088"/>
      <c r="AC35" s="1088"/>
      <c r="AD35" s="1071">
        <f t="shared" si="0"/>
        <v>2000</v>
      </c>
      <c r="AE35" s="1071">
        <f t="shared" si="10"/>
        <v>2000</v>
      </c>
      <c r="AF35" s="1071">
        <f t="shared" si="2"/>
        <v>2000</v>
      </c>
      <c r="AG35" s="1070"/>
      <c r="AH35" s="1079"/>
      <c r="AI35" s="1079"/>
    </row>
    <row r="36" spans="1:35" s="1080" customFormat="1" ht="20.25" customHeight="1">
      <c r="A36" s="1233" t="s">
        <v>1489</v>
      </c>
      <c r="B36" s="1076"/>
      <c r="C36" s="1068">
        <v>5300</v>
      </c>
      <c r="D36" s="1068">
        <v>5300</v>
      </c>
      <c r="E36" s="1068">
        <v>5300</v>
      </c>
      <c r="F36" s="1068">
        <v>5300</v>
      </c>
      <c r="G36" s="1068">
        <f t="shared" si="12"/>
        <v>5300</v>
      </c>
      <c r="H36" s="1068">
        <f t="shared" si="12"/>
        <v>5300</v>
      </c>
      <c r="I36" s="1077">
        <v>370</v>
      </c>
      <c r="J36" s="1077">
        <v>370</v>
      </c>
      <c r="K36" s="1077">
        <v>370</v>
      </c>
      <c r="L36" s="1077"/>
      <c r="M36" s="1085"/>
      <c r="N36" s="1085"/>
      <c r="O36" s="1077"/>
      <c r="P36" s="1085"/>
      <c r="Q36" s="1085"/>
      <c r="R36" s="1077"/>
      <c r="S36" s="1085"/>
      <c r="T36" s="1085"/>
      <c r="U36" s="1077"/>
      <c r="V36" s="1175"/>
      <c r="W36" s="1175"/>
      <c r="X36" s="1077"/>
      <c r="Y36" s="1175"/>
      <c r="Z36" s="1077"/>
      <c r="AA36" s="1077"/>
      <c r="AB36" s="1088"/>
      <c r="AC36" s="1088"/>
      <c r="AD36" s="1071">
        <f t="shared" si="0"/>
        <v>4930</v>
      </c>
      <c r="AE36" s="1071">
        <f t="shared" si="10"/>
        <v>4930</v>
      </c>
      <c r="AF36" s="1071">
        <f t="shared" si="2"/>
        <v>4930</v>
      </c>
      <c r="AG36" s="1070"/>
      <c r="AH36" s="1079"/>
      <c r="AI36" s="1079"/>
    </row>
    <row r="37" spans="1:35" s="1080" customFormat="1" ht="20.25" customHeight="1">
      <c r="A37" s="1039" t="s">
        <v>1490</v>
      </c>
      <c r="B37" s="1076"/>
      <c r="C37" s="1068">
        <v>0</v>
      </c>
      <c r="D37" s="1068">
        <v>0</v>
      </c>
      <c r="E37" s="1069">
        <v>0</v>
      </c>
      <c r="F37" s="1068">
        <v>0</v>
      </c>
      <c r="G37" s="1068">
        <f t="shared" ref="G37:G53" si="13">SUM(D37)</f>
        <v>0</v>
      </c>
      <c r="H37" s="1068">
        <f t="shared" ref="H37:H53" si="14">SUM(E37)</f>
        <v>0</v>
      </c>
      <c r="I37" s="1077"/>
      <c r="J37" s="1085"/>
      <c r="K37" s="1085"/>
      <c r="L37" s="1077"/>
      <c r="M37" s="1085"/>
      <c r="N37" s="1085"/>
      <c r="O37" s="1077"/>
      <c r="P37" s="1085"/>
      <c r="Q37" s="1085"/>
      <c r="R37" s="1077"/>
      <c r="S37" s="1085"/>
      <c r="T37" s="1085"/>
      <c r="U37" s="1077"/>
      <c r="V37" s="1175"/>
      <c r="W37" s="1175"/>
      <c r="X37" s="1077"/>
      <c r="Y37" s="1175"/>
      <c r="Z37" s="1077"/>
      <c r="AA37" s="1077"/>
      <c r="AB37" s="1088"/>
      <c r="AC37" s="1088"/>
      <c r="AD37" s="1071">
        <f t="shared" si="0"/>
        <v>0</v>
      </c>
      <c r="AE37" s="1071">
        <f t="shared" si="10"/>
        <v>0</v>
      </c>
      <c r="AF37" s="1071">
        <f t="shared" si="2"/>
        <v>0</v>
      </c>
      <c r="AG37" s="1070"/>
      <c r="AH37" s="1079"/>
      <c r="AI37" s="1079"/>
    </row>
    <row r="38" spans="1:35" s="1080" customFormat="1" ht="20.25" customHeight="1">
      <c r="A38" s="1233" t="s">
        <v>1491</v>
      </c>
      <c r="B38" s="1076"/>
      <c r="C38" s="1068">
        <v>24073</v>
      </c>
      <c r="D38" s="1068">
        <v>24073</v>
      </c>
      <c r="E38" s="1068">
        <v>24073</v>
      </c>
      <c r="F38" s="1068">
        <v>24073</v>
      </c>
      <c r="G38" s="1068">
        <f t="shared" si="13"/>
        <v>24073</v>
      </c>
      <c r="H38" s="1068">
        <f t="shared" si="14"/>
        <v>24073</v>
      </c>
      <c r="I38" s="1077">
        <v>1680</v>
      </c>
      <c r="J38" s="1077">
        <v>1680</v>
      </c>
      <c r="K38" s="1077">
        <v>1680</v>
      </c>
      <c r="L38" s="1077"/>
      <c r="M38" s="1085"/>
      <c r="N38" s="1085"/>
      <c r="O38" s="1077"/>
      <c r="P38" s="1085"/>
      <c r="Q38" s="1085"/>
      <c r="R38" s="1077"/>
      <c r="S38" s="1085"/>
      <c r="T38" s="1085"/>
      <c r="U38" s="1077"/>
      <c r="V38" s="1175"/>
      <c r="W38" s="1175"/>
      <c r="X38" s="1077"/>
      <c r="Y38" s="1175"/>
      <c r="Z38" s="1077"/>
      <c r="AA38" s="1077"/>
      <c r="AB38" s="1088"/>
      <c r="AC38" s="1088"/>
      <c r="AD38" s="1071">
        <f t="shared" ref="AD38:AD54" si="15">SUM(F38-I38-L38-O38-R38-U38-X38-Z38-AA38)</f>
        <v>22393</v>
      </c>
      <c r="AE38" s="1071">
        <f t="shared" si="10"/>
        <v>22393</v>
      </c>
      <c r="AF38" s="1071">
        <f t="shared" si="2"/>
        <v>22393</v>
      </c>
      <c r="AG38" s="1070"/>
      <c r="AH38" s="1079"/>
      <c r="AI38" s="1079"/>
    </row>
    <row r="39" spans="1:35" s="1080" customFormat="1" ht="20.25" customHeight="1">
      <c r="A39" s="1039" t="s">
        <v>1492</v>
      </c>
      <c r="B39" s="1076"/>
      <c r="C39" s="1068">
        <v>0</v>
      </c>
      <c r="D39" s="1068">
        <v>0</v>
      </c>
      <c r="E39" s="1069">
        <v>0</v>
      </c>
      <c r="F39" s="1068">
        <v>0</v>
      </c>
      <c r="G39" s="1068">
        <f t="shared" si="13"/>
        <v>0</v>
      </c>
      <c r="H39" s="1068">
        <f t="shared" si="14"/>
        <v>0</v>
      </c>
      <c r="I39" s="1077"/>
      <c r="J39" s="1085"/>
      <c r="K39" s="1085"/>
      <c r="L39" s="1077"/>
      <c r="M39" s="1085"/>
      <c r="N39" s="1085"/>
      <c r="O39" s="1077"/>
      <c r="P39" s="1085"/>
      <c r="Q39" s="1085"/>
      <c r="R39" s="1077"/>
      <c r="S39" s="1085"/>
      <c r="T39" s="1085"/>
      <c r="U39" s="1077"/>
      <c r="V39" s="1175"/>
      <c r="W39" s="1175"/>
      <c r="X39" s="1077"/>
      <c r="Y39" s="1175"/>
      <c r="Z39" s="1077"/>
      <c r="AA39" s="1077"/>
      <c r="AB39" s="1088"/>
      <c r="AC39" s="1088"/>
      <c r="AD39" s="1071">
        <f t="shared" si="15"/>
        <v>0</v>
      </c>
      <c r="AE39" s="1071">
        <f t="shared" si="10"/>
        <v>0</v>
      </c>
      <c r="AF39" s="1071">
        <f t="shared" si="2"/>
        <v>0</v>
      </c>
      <c r="AG39" s="1070"/>
      <c r="AH39" s="1079"/>
      <c r="AI39" s="1079"/>
    </row>
    <row r="40" spans="1:35" s="1080" customFormat="1" ht="20.25" customHeight="1">
      <c r="A40" s="1233" t="s">
        <v>1493</v>
      </c>
      <c r="B40" s="1076"/>
      <c r="C40" s="1068">
        <v>1000</v>
      </c>
      <c r="D40" s="1068">
        <v>1000</v>
      </c>
      <c r="E40" s="1068">
        <v>1000</v>
      </c>
      <c r="F40" s="1068">
        <v>1000</v>
      </c>
      <c r="G40" s="1068">
        <f t="shared" si="13"/>
        <v>1000</v>
      </c>
      <c r="H40" s="1068">
        <f t="shared" si="14"/>
        <v>1000</v>
      </c>
      <c r="I40" s="1077"/>
      <c r="J40" s="1085"/>
      <c r="K40" s="1085"/>
      <c r="L40" s="1077"/>
      <c r="M40" s="1085"/>
      <c r="N40" s="1085"/>
      <c r="O40" s="1077"/>
      <c r="P40" s="1085"/>
      <c r="Q40" s="1085"/>
      <c r="R40" s="1077"/>
      <c r="S40" s="1085"/>
      <c r="T40" s="1085"/>
      <c r="U40" s="1077"/>
      <c r="V40" s="1175"/>
      <c r="W40" s="1175"/>
      <c r="X40" s="1077"/>
      <c r="Y40" s="1175"/>
      <c r="Z40" s="1077"/>
      <c r="AA40" s="1077"/>
      <c r="AB40" s="1088"/>
      <c r="AC40" s="1088"/>
      <c r="AD40" s="1071">
        <f t="shared" si="15"/>
        <v>1000</v>
      </c>
      <c r="AE40" s="1071">
        <f t="shared" si="10"/>
        <v>1000</v>
      </c>
      <c r="AF40" s="1071">
        <f t="shared" si="2"/>
        <v>1000</v>
      </c>
      <c r="AG40" s="1070"/>
      <c r="AH40" s="1079"/>
      <c r="AI40" s="1079"/>
    </row>
    <row r="41" spans="1:35" s="1080" customFormat="1" ht="20.25" customHeight="1">
      <c r="A41" s="1233" t="s">
        <v>1494</v>
      </c>
      <c r="B41" s="1076"/>
      <c r="C41" s="1068">
        <v>1000</v>
      </c>
      <c r="D41" s="1068">
        <v>1000</v>
      </c>
      <c r="E41" s="1068">
        <v>1000</v>
      </c>
      <c r="F41" s="1068">
        <v>1000</v>
      </c>
      <c r="G41" s="1068">
        <f t="shared" si="13"/>
        <v>1000</v>
      </c>
      <c r="H41" s="1068">
        <f t="shared" si="14"/>
        <v>1000</v>
      </c>
      <c r="I41" s="1077"/>
      <c r="J41" s="1085"/>
      <c r="K41" s="1085"/>
      <c r="L41" s="1077"/>
      <c r="M41" s="1085"/>
      <c r="N41" s="1085"/>
      <c r="O41" s="1077"/>
      <c r="P41" s="1085"/>
      <c r="Q41" s="1085"/>
      <c r="R41" s="1077"/>
      <c r="S41" s="1085"/>
      <c r="T41" s="1085"/>
      <c r="U41" s="1077"/>
      <c r="V41" s="1175"/>
      <c r="W41" s="1175"/>
      <c r="X41" s="1077"/>
      <c r="Y41" s="1175"/>
      <c r="Z41" s="1077"/>
      <c r="AA41" s="1077"/>
      <c r="AB41" s="1088"/>
      <c r="AC41" s="1088"/>
      <c r="AD41" s="1071">
        <f t="shared" si="15"/>
        <v>1000</v>
      </c>
      <c r="AE41" s="1071">
        <f t="shared" si="10"/>
        <v>1000</v>
      </c>
      <c r="AF41" s="1071">
        <f t="shared" si="2"/>
        <v>1000</v>
      </c>
      <c r="AG41" s="1070"/>
      <c r="AH41" s="1079"/>
      <c r="AI41" s="1079"/>
    </row>
    <row r="42" spans="1:35" s="1080" customFormat="1" ht="20.25" customHeight="1">
      <c r="A42" s="1233" t="s">
        <v>1495</v>
      </c>
      <c r="B42" s="1076"/>
      <c r="C42" s="1068">
        <v>11965</v>
      </c>
      <c r="D42" s="1069">
        <f>SUM('3.2.sz.melléklet'!F197)</f>
        <v>47354</v>
      </c>
      <c r="E42" s="1069">
        <f>SUM('3.2.sz.melléklet'!G197)</f>
        <v>35343</v>
      </c>
      <c r="F42" s="1068">
        <v>11965</v>
      </c>
      <c r="G42" s="1068">
        <f t="shared" si="13"/>
        <v>47354</v>
      </c>
      <c r="H42" s="1068">
        <f t="shared" si="14"/>
        <v>35343</v>
      </c>
      <c r="I42" s="1077"/>
      <c r="J42" s="1085">
        <v>35389</v>
      </c>
      <c r="K42" s="1085">
        <v>23378</v>
      </c>
      <c r="L42" s="1077"/>
      <c r="M42" s="1085"/>
      <c r="N42" s="1085"/>
      <c r="O42" s="1077"/>
      <c r="P42" s="1085"/>
      <c r="Q42" s="1085"/>
      <c r="R42" s="1077"/>
      <c r="S42" s="1085"/>
      <c r="T42" s="1085"/>
      <c r="U42" s="1077"/>
      <c r="V42" s="1175"/>
      <c r="W42" s="1175"/>
      <c r="X42" s="1077"/>
      <c r="Y42" s="1175"/>
      <c r="Z42" s="1077"/>
      <c r="AA42" s="1077"/>
      <c r="AB42" s="1088"/>
      <c r="AC42" s="1088"/>
      <c r="AD42" s="1071">
        <f t="shared" si="15"/>
        <v>11965</v>
      </c>
      <c r="AE42" s="1071">
        <f t="shared" si="10"/>
        <v>11965</v>
      </c>
      <c r="AF42" s="1071">
        <f t="shared" si="2"/>
        <v>11965</v>
      </c>
      <c r="AG42" s="1070"/>
      <c r="AH42" s="1079"/>
      <c r="AI42" s="1079"/>
    </row>
    <row r="43" spans="1:35" s="1080" customFormat="1" ht="31.5" customHeight="1">
      <c r="A43" s="1248" t="s">
        <v>1496</v>
      </c>
      <c r="B43" s="1180"/>
      <c r="C43" s="1181">
        <v>8804</v>
      </c>
      <c r="D43" s="1181">
        <v>8804</v>
      </c>
      <c r="E43" s="1181">
        <v>8804</v>
      </c>
      <c r="F43" s="1181">
        <v>8804</v>
      </c>
      <c r="G43" s="1068">
        <f t="shared" si="13"/>
        <v>8804</v>
      </c>
      <c r="H43" s="1068">
        <f t="shared" si="14"/>
        <v>8804</v>
      </c>
      <c r="I43" s="1183"/>
      <c r="J43" s="1184"/>
      <c r="K43" s="1184"/>
      <c r="L43" s="1183">
        <v>8804</v>
      </c>
      <c r="M43" s="1183">
        <v>8804</v>
      </c>
      <c r="N43" s="1184">
        <f>SUM(M43)*3/4</f>
        <v>6603</v>
      </c>
      <c r="O43" s="1183"/>
      <c r="P43" s="1184"/>
      <c r="Q43" s="1184"/>
      <c r="R43" s="1183"/>
      <c r="S43" s="1184"/>
      <c r="T43" s="1184"/>
      <c r="U43" s="1183"/>
      <c r="V43" s="1185"/>
      <c r="W43" s="1185"/>
      <c r="X43" s="1183"/>
      <c r="Y43" s="1185"/>
      <c r="Z43" s="1183"/>
      <c r="AA43" s="1183"/>
      <c r="AB43" s="1186"/>
      <c r="AC43" s="1186"/>
      <c r="AD43" s="1071">
        <f t="shared" si="15"/>
        <v>0</v>
      </c>
      <c r="AE43" s="1071">
        <f t="shared" si="10"/>
        <v>0</v>
      </c>
      <c r="AF43" s="1071">
        <f t="shared" si="2"/>
        <v>2201</v>
      </c>
      <c r="AG43" s="1070"/>
    </row>
    <row r="44" spans="1:35" s="1080" customFormat="1" ht="36.75" customHeight="1">
      <c r="A44" s="1248" t="s">
        <v>1497</v>
      </c>
      <c r="B44" s="1180"/>
      <c r="C44" s="1181">
        <v>9000</v>
      </c>
      <c r="D44" s="1181">
        <v>9000</v>
      </c>
      <c r="E44" s="1181">
        <v>9000</v>
      </c>
      <c r="F44" s="1181">
        <v>9000</v>
      </c>
      <c r="G44" s="1068">
        <f t="shared" si="13"/>
        <v>9000</v>
      </c>
      <c r="H44" s="1182">
        <f t="shared" si="14"/>
        <v>9000</v>
      </c>
      <c r="I44" s="1183"/>
      <c r="J44" s="1184"/>
      <c r="K44" s="1184"/>
      <c r="L44" s="1183"/>
      <c r="M44" s="1184"/>
      <c r="N44" s="1184"/>
      <c r="O44" s="1183">
        <v>9000</v>
      </c>
      <c r="P44" s="1183">
        <v>9000</v>
      </c>
      <c r="Q44" s="1184">
        <f>SUM(P44)*3/4</f>
        <v>6750</v>
      </c>
      <c r="R44" s="1183"/>
      <c r="S44" s="1184"/>
      <c r="T44" s="1184"/>
      <c r="U44" s="1183"/>
      <c r="V44" s="1185"/>
      <c r="W44" s="1185"/>
      <c r="X44" s="1183"/>
      <c r="Y44" s="1185"/>
      <c r="Z44" s="1183"/>
      <c r="AA44" s="1183"/>
      <c r="AB44" s="1186"/>
      <c r="AC44" s="1186"/>
      <c r="AD44" s="1071">
        <f t="shared" si="15"/>
        <v>0</v>
      </c>
      <c r="AE44" s="1071">
        <f t="shared" si="10"/>
        <v>0</v>
      </c>
      <c r="AF44" s="1071">
        <f t="shared" si="2"/>
        <v>2250</v>
      </c>
      <c r="AG44" s="1070"/>
    </row>
    <row r="45" spans="1:35" s="1080" customFormat="1" ht="20.25" customHeight="1">
      <c r="A45" s="1039" t="s">
        <v>1498</v>
      </c>
      <c r="B45" s="1180"/>
      <c r="C45" s="1181">
        <v>17171</v>
      </c>
      <c r="D45" s="1182">
        <f>SUM('3.2.sz.melléklet'!F202)</f>
        <v>17414</v>
      </c>
      <c r="E45" s="1182">
        <f>SUM('3.2.sz.melléklet'!G202)</f>
        <v>15911</v>
      </c>
      <c r="F45" s="1181">
        <v>17171</v>
      </c>
      <c r="G45" s="1068">
        <f t="shared" si="13"/>
        <v>17414</v>
      </c>
      <c r="H45" s="1182">
        <f t="shared" si="14"/>
        <v>15911</v>
      </c>
      <c r="I45" s="1183"/>
      <c r="J45" s="1184"/>
      <c r="K45" s="1184"/>
      <c r="L45" s="1183"/>
      <c r="M45" s="1184"/>
      <c r="N45" s="1184"/>
      <c r="O45" s="1183"/>
      <c r="P45" s="1184"/>
      <c r="Q45" s="1184"/>
      <c r="R45" s="1183"/>
      <c r="S45" s="1184"/>
      <c r="T45" s="1184"/>
      <c r="U45" s="1183"/>
      <c r="V45" s="1185"/>
      <c r="W45" s="1185"/>
      <c r="X45" s="1183"/>
      <c r="Y45" s="1185"/>
      <c r="Z45" s="1183"/>
      <c r="AA45" s="1183"/>
      <c r="AB45" s="1186"/>
      <c r="AC45" s="1186"/>
      <c r="AD45" s="1071">
        <f t="shared" si="15"/>
        <v>17171</v>
      </c>
      <c r="AE45" s="1071">
        <f t="shared" si="10"/>
        <v>17414</v>
      </c>
      <c r="AF45" s="1071">
        <f t="shared" si="2"/>
        <v>15911</v>
      </c>
      <c r="AG45" s="1070"/>
    </row>
    <row r="46" spans="1:35" s="1080" customFormat="1" ht="20.25" customHeight="1">
      <c r="A46" s="1233" t="s">
        <v>1499</v>
      </c>
      <c r="B46" s="1180"/>
      <c r="C46" s="1181">
        <v>2565</v>
      </c>
      <c r="D46" s="1181">
        <v>2565</v>
      </c>
      <c r="E46" s="1181">
        <v>2565</v>
      </c>
      <c r="F46" s="1181">
        <v>2565</v>
      </c>
      <c r="G46" s="1068">
        <f>SUM(D46)</f>
        <v>2565</v>
      </c>
      <c r="H46" s="1182">
        <f t="shared" si="14"/>
        <v>2565</v>
      </c>
      <c r="I46" s="1183"/>
      <c r="J46" s="1184"/>
      <c r="K46" s="1184"/>
      <c r="L46" s="1183"/>
      <c r="M46" s="1184"/>
      <c r="N46" s="1184"/>
      <c r="O46" s="1183"/>
      <c r="P46" s="1184"/>
      <c r="Q46" s="1184"/>
      <c r="R46" s="1183"/>
      <c r="S46" s="1184"/>
      <c r="T46" s="1184"/>
      <c r="U46" s="1183"/>
      <c r="V46" s="1185"/>
      <c r="W46" s="1185"/>
      <c r="X46" s="1183"/>
      <c r="Y46" s="1185"/>
      <c r="Z46" s="1183"/>
      <c r="AA46" s="1183"/>
      <c r="AB46" s="1186"/>
      <c r="AC46" s="1186"/>
      <c r="AD46" s="1071">
        <f t="shared" si="15"/>
        <v>2565</v>
      </c>
      <c r="AE46" s="1071">
        <f t="shared" ref="AE46:AE51" si="16">SUM(G46-J46-M46-P46-S46-X46-Z46-AB46)</f>
        <v>2565</v>
      </c>
      <c r="AF46" s="1071">
        <f t="shared" si="2"/>
        <v>2565</v>
      </c>
      <c r="AG46" s="1070"/>
    </row>
    <row r="47" spans="1:35" s="1080" customFormat="1" ht="20.25" customHeight="1">
      <c r="A47" s="1039" t="s">
        <v>1500</v>
      </c>
      <c r="B47" s="1180"/>
      <c r="C47" s="1181">
        <v>33397</v>
      </c>
      <c r="D47" s="1181">
        <f>SUM('4.7.sz. mell.'!E46)</f>
        <v>50849</v>
      </c>
      <c r="E47" s="1181">
        <f>SUM('4.7.sz. mell.'!F46)</f>
        <v>50849</v>
      </c>
      <c r="F47" s="1181">
        <v>33397</v>
      </c>
      <c r="G47" s="1068">
        <f t="shared" si="13"/>
        <v>50849</v>
      </c>
      <c r="H47" s="1182">
        <f t="shared" si="14"/>
        <v>50849</v>
      </c>
      <c r="I47" s="1183">
        <v>2330</v>
      </c>
      <c r="J47" s="1183">
        <v>2330</v>
      </c>
      <c r="K47" s="1183">
        <v>2330</v>
      </c>
      <c r="L47" s="1183"/>
      <c r="M47" s="1184"/>
      <c r="N47" s="1184"/>
      <c r="O47" s="1183"/>
      <c r="P47" s="1184"/>
      <c r="Q47" s="1184"/>
      <c r="R47" s="1183"/>
      <c r="S47" s="1184"/>
      <c r="T47" s="1184"/>
      <c r="U47" s="1183"/>
      <c r="V47" s="1185"/>
      <c r="W47" s="1185"/>
      <c r="X47" s="1183"/>
      <c r="Y47" s="1185"/>
      <c r="Z47" s="1183"/>
      <c r="AA47" s="1183"/>
      <c r="AB47" s="1186"/>
      <c r="AC47" s="1186"/>
      <c r="AD47" s="1071">
        <f t="shared" si="15"/>
        <v>31067</v>
      </c>
      <c r="AE47" s="1071">
        <f t="shared" si="16"/>
        <v>48519</v>
      </c>
      <c r="AF47" s="1071">
        <f t="shared" si="2"/>
        <v>48519</v>
      </c>
      <c r="AG47" s="1070"/>
    </row>
    <row r="48" spans="1:35" s="1080" customFormat="1" ht="20.25" customHeight="1">
      <c r="A48" s="1233" t="s">
        <v>1501</v>
      </c>
      <c r="B48" s="1180"/>
      <c r="C48" s="1181">
        <v>8000</v>
      </c>
      <c r="D48" s="1182">
        <f>SUM('3.2.sz.melléklet'!F124)</f>
        <v>8000</v>
      </c>
      <c r="E48" s="1182">
        <v>8000</v>
      </c>
      <c r="F48" s="1181">
        <v>8000</v>
      </c>
      <c r="G48" s="1068">
        <f t="shared" si="13"/>
        <v>8000</v>
      </c>
      <c r="H48" s="1182">
        <f t="shared" si="14"/>
        <v>8000</v>
      </c>
      <c r="I48" s="1183">
        <v>558</v>
      </c>
      <c r="J48" s="1183">
        <v>558</v>
      </c>
      <c r="K48" s="1183">
        <v>558</v>
      </c>
      <c r="L48" s="1183"/>
      <c r="M48" s="1184"/>
      <c r="N48" s="1184"/>
      <c r="O48" s="1183"/>
      <c r="P48" s="1184"/>
      <c r="Q48" s="1184"/>
      <c r="R48" s="1183"/>
      <c r="S48" s="1184"/>
      <c r="T48" s="1184"/>
      <c r="U48" s="1183"/>
      <c r="V48" s="1185"/>
      <c r="W48" s="1185"/>
      <c r="X48" s="1183"/>
      <c r="Y48" s="1185"/>
      <c r="Z48" s="1183"/>
      <c r="AA48" s="1183"/>
      <c r="AB48" s="1186"/>
      <c r="AC48" s="1186"/>
      <c r="AD48" s="1071">
        <f t="shared" si="15"/>
        <v>7442</v>
      </c>
      <c r="AE48" s="1071">
        <f t="shared" si="16"/>
        <v>7442</v>
      </c>
      <c r="AF48" s="1071">
        <f t="shared" si="2"/>
        <v>7442</v>
      </c>
      <c r="AG48" s="1070"/>
    </row>
    <row r="49" spans="1:33" s="1080" customFormat="1" ht="20.25" customHeight="1">
      <c r="A49" s="1233" t="s">
        <v>1502</v>
      </c>
      <c r="B49" s="1180"/>
      <c r="C49" s="1181">
        <v>30000</v>
      </c>
      <c r="D49" s="1181">
        <v>30000</v>
      </c>
      <c r="E49" s="1181">
        <v>30000</v>
      </c>
      <c r="F49" s="1181">
        <v>30000</v>
      </c>
      <c r="G49" s="1068">
        <f t="shared" si="13"/>
        <v>30000</v>
      </c>
      <c r="H49" s="1182">
        <f t="shared" si="14"/>
        <v>30000</v>
      </c>
      <c r="I49" s="1183">
        <v>2093</v>
      </c>
      <c r="J49" s="1183">
        <v>2093</v>
      </c>
      <c r="K49" s="1183">
        <v>2093</v>
      </c>
      <c r="L49" s="1183"/>
      <c r="M49" s="1184"/>
      <c r="N49" s="1184"/>
      <c r="O49" s="1183"/>
      <c r="P49" s="1184"/>
      <c r="Q49" s="1184"/>
      <c r="R49" s="1183"/>
      <c r="S49" s="1184"/>
      <c r="T49" s="1184"/>
      <c r="U49" s="1183"/>
      <c r="V49" s="1185"/>
      <c r="W49" s="1185"/>
      <c r="X49" s="1183"/>
      <c r="Y49" s="1185"/>
      <c r="Z49" s="1183"/>
      <c r="AA49" s="1183"/>
      <c r="AB49" s="1186"/>
      <c r="AC49" s="1186"/>
      <c r="AD49" s="1071">
        <f t="shared" si="15"/>
        <v>27907</v>
      </c>
      <c r="AE49" s="1071">
        <f t="shared" si="16"/>
        <v>27907</v>
      </c>
      <c r="AF49" s="1071">
        <f t="shared" si="2"/>
        <v>27907</v>
      </c>
      <c r="AG49" s="1070"/>
    </row>
    <row r="50" spans="1:33" s="1080" customFormat="1" ht="20.25" customHeight="1">
      <c r="A50" s="1039" t="s">
        <v>1503</v>
      </c>
      <c r="B50" s="1180"/>
      <c r="C50" s="1181">
        <v>0</v>
      </c>
      <c r="D50" s="1182">
        <v>0</v>
      </c>
      <c r="E50" s="1182">
        <v>0</v>
      </c>
      <c r="F50" s="1181">
        <v>0</v>
      </c>
      <c r="G50" s="1068">
        <f t="shared" si="13"/>
        <v>0</v>
      </c>
      <c r="H50" s="1182">
        <f t="shared" si="14"/>
        <v>0</v>
      </c>
      <c r="I50" s="1183"/>
      <c r="J50" s="1184"/>
      <c r="K50" s="1184"/>
      <c r="L50" s="1183"/>
      <c r="M50" s="1184"/>
      <c r="N50" s="1184"/>
      <c r="O50" s="1183"/>
      <c r="P50" s="1184"/>
      <c r="Q50" s="1184"/>
      <c r="R50" s="1183"/>
      <c r="S50" s="1184"/>
      <c r="T50" s="1184"/>
      <c r="U50" s="1183"/>
      <c r="V50" s="1185"/>
      <c r="W50" s="1185"/>
      <c r="X50" s="1183"/>
      <c r="Y50" s="1185"/>
      <c r="Z50" s="1183"/>
      <c r="AA50" s="1183"/>
      <c r="AB50" s="1186"/>
      <c r="AC50" s="1186"/>
      <c r="AD50" s="1071">
        <f t="shared" si="15"/>
        <v>0</v>
      </c>
      <c r="AE50" s="1071">
        <f t="shared" si="16"/>
        <v>0</v>
      </c>
      <c r="AF50" s="1071">
        <f t="shared" si="2"/>
        <v>0</v>
      </c>
      <c r="AG50" s="1070"/>
    </row>
    <row r="51" spans="1:33" s="1080" customFormat="1" ht="20.25" customHeight="1">
      <c r="A51" s="1768" t="s">
        <v>1504</v>
      </c>
      <c r="B51" s="1187"/>
      <c r="C51" s="1188">
        <v>51432</v>
      </c>
      <c r="D51" s="1189">
        <v>41232</v>
      </c>
      <c r="E51" s="1189">
        <f>SUM('3.2.sz.melléklet'!G155)</f>
        <v>0</v>
      </c>
      <c r="F51" s="1188">
        <v>51432</v>
      </c>
      <c r="G51" s="1068">
        <f>SUM(P51)</f>
        <v>41231.550000000003</v>
      </c>
      <c r="H51" s="1068">
        <f>SUM(Q51)</f>
        <v>41231.550000000003</v>
      </c>
      <c r="I51" s="1190"/>
      <c r="J51" s="1191"/>
      <c r="K51" s="1191"/>
      <c r="L51" s="1190"/>
      <c r="M51" s="1191"/>
      <c r="N51" s="1191"/>
      <c r="O51" s="1190">
        <f>SUM('3.1.asz.melléklet'!E19)*1.27+1</f>
        <v>51432.19</v>
      </c>
      <c r="P51" s="1190">
        <f>SUM('3.1.asz.melléklet'!F19)*1.27+1</f>
        <v>41231.550000000003</v>
      </c>
      <c r="Q51" s="1190">
        <f>SUM('3.1.asz.melléklet'!G19)*1.27+1</f>
        <v>41231.550000000003</v>
      </c>
      <c r="R51" s="1190"/>
      <c r="S51" s="1191"/>
      <c r="T51" s="1191"/>
      <c r="U51" s="1190"/>
      <c r="V51" s="1192"/>
      <c r="W51" s="1192"/>
      <c r="X51" s="1190"/>
      <c r="Y51" s="1192"/>
      <c r="Z51" s="1183"/>
      <c r="AA51" s="1183"/>
      <c r="AB51" s="1186"/>
      <c r="AC51" s="1186"/>
      <c r="AD51" s="1071">
        <f t="shared" si="15"/>
        <v>-0.19000000000232831</v>
      </c>
      <c r="AE51" s="1071">
        <f t="shared" si="16"/>
        <v>0</v>
      </c>
      <c r="AF51" s="1071">
        <f t="shared" si="2"/>
        <v>0</v>
      </c>
      <c r="AG51" s="1070"/>
    </row>
    <row r="52" spans="1:33" s="1080" customFormat="1" ht="20.25" customHeight="1">
      <c r="A52" s="1082" t="s">
        <v>1649</v>
      </c>
      <c r="B52" s="1193"/>
      <c r="C52" s="1181">
        <v>115555</v>
      </c>
      <c r="D52" s="1182">
        <f>SUM('3.2.sz.melléklet'!F185+'3.2.sz.melléklet'!F186+'3.2.sz.melléklet'!F187+'4.8.sz. mell.'!E47)</f>
        <v>142923</v>
      </c>
      <c r="E52" s="1182">
        <f>SUM('3.2.sz.melléklet'!G185+'3.2.sz.melléklet'!G186+'3.2.sz.melléklet'!G187+'4.8.sz. mell.'!F47)</f>
        <v>141046</v>
      </c>
      <c r="F52" s="1181">
        <v>115555</v>
      </c>
      <c r="G52" s="1068">
        <f t="shared" si="13"/>
        <v>142923</v>
      </c>
      <c r="H52" s="1182">
        <f t="shared" si="14"/>
        <v>141046</v>
      </c>
      <c r="I52" s="1183"/>
      <c r="J52" s="1184"/>
      <c r="K52" s="1184"/>
      <c r="L52" s="1183"/>
      <c r="M52" s="1184"/>
      <c r="N52" s="1184"/>
      <c r="O52" s="1183">
        <f>SUM('3.1.asz.melléklet'!E20+'3.1.asz.melléklet'!E21+'3.1.asz.melléklet'!E22)*1.27</f>
        <v>2547.62</v>
      </c>
      <c r="P52" s="1183">
        <f>SUM('3.1.asz.melléklet'!F20+'3.1.asz.melléklet'!F21+'3.1.asz.melléklet'!F22)*1.27</f>
        <v>5435.6</v>
      </c>
      <c r="Q52" s="1183">
        <f>SUM('3.1.asz.melléklet'!G20+'3.1.asz.melléklet'!G21+'3.1.asz.melléklet'!G22)*1.27</f>
        <v>5435.6</v>
      </c>
      <c r="R52" s="1183"/>
      <c r="S52" s="1184"/>
      <c r="T52" s="1184"/>
      <c r="U52" s="1183"/>
      <c r="V52" s="1185"/>
      <c r="W52" s="1185"/>
      <c r="X52" s="1183"/>
      <c r="Y52" s="1185"/>
      <c r="Z52" s="1183"/>
      <c r="AA52" s="1183"/>
      <c r="AB52" s="1186"/>
      <c r="AC52" s="1186"/>
      <c r="AD52" s="1071">
        <f t="shared" si="15"/>
        <v>113007.38</v>
      </c>
      <c r="AE52" s="1071">
        <f>SUM(G52-J52-M52-P52-S52-X52-Z52-AB52)</f>
        <v>137487.4</v>
      </c>
      <c r="AF52" s="1071">
        <f t="shared" si="2"/>
        <v>135610.4</v>
      </c>
      <c r="AG52" s="1070"/>
    </row>
    <row r="53" spans="1:33" s="1080" customFormat="1" ht="20.25" customHeight="1">
      <c r="A53" s="1241" t="s">
        <v>1650</v>
      </c>
      <c r="B53" s="1194"/>
      <c r="C53" s="1188">
        <v>367002</v>
      </c>
      <c r="D53" s="1189">
        <f>SUM('4. sz. mell.'!E48-'1.5. sz. mell'!C16-'4. sz. mell.'!E41-'4.8.sz. mell.'!E47-'4.7.sz. mell.'!E46)</f>
        <v>388995</v>
      </c>
      <c r="E53" s="1189">
        <f>SUM('4. sz. mell.'!F48-'1.5. sz. mell'!D16-'4. sz. mell.'!F41-'4.8.sz. mell.'!F47-'4.7.sz. mell.'!F46)</f>
        <v>390363</v>
      </c>
      <c r="F53" s="1188">
        <v>367002</v>
      </c>
      <c r="G53" s="1068">
        <f t="shared" si="13"/>
        <v>388995</v>
      </c>
      <c r="H53" s="1182">
        <f t="shared" si="14"/>
        <v>390363</v>
      </c>
      <c r="I53" s="1184">
        <f>SUM('4. sz. mell.'!D18-'1.5. sz. mell'!H16)</f>
        <v>28798</v>
      </c>
      <c r="J53" s="1184">
        <f>SUM('4. sz. mell.'!E18-'1.5. sz. mell'!I16)</f>
        <v>29016</v>
      </c>
      <c r="K53" s="1184">
        <f>SUM('4. sz. mell.'!F18-'1.5. sz. mell'!J16)</f>
        <v>31021</v>
      </c>
      <c r="L53" s="1190"/>
      <c r="M53" s="1191"/>
      <c r="N53" s="1191"/>
      <c r="O53" s="1190"/>
      <c r="P53" s="1191">
        <f>SUM('4. sz. mell.'!E8)</f>
        <v>8723</v>
      </c>
      <c r="Q53" s="1191">
        <f>SUM('4. sz. mell.'!F8)</f>
        <v>8723</v>
      </c>
      <c r="R53" s="1190"/>
      <c r="S53" s="1191">
        <v>24564</v>
      </c>
      <c r="T53" s="1191"/>
      <c r="U53" s="1190"/>
      <c r="V53" s="1192"/>
      <c r="W53" s="1192"/>
      <c r="X53" s="1190"/>
      <c r="Y53" s="1192"/>
      <c r="Z53" s="1190"/>
      <c r="AA53" s="1190"/>
      <c r="AB53" s="1184">
        <v>2614</v>
      </c>
      <c r="AC53" s="1184"/>
      <c r="AD53" s="1071">
        <f t="shared" si="15"/>
        <v>338204</v>
      </c>
      <c r="AE53" s="1071">
        <v>125617</v>
      </c>
      <c r="AF53" s="1071">
        <f t="shared" si="2"/>
        <v>350619</v>
      </c>
      <c r="AG53" s="1070"/>
    </row>
    <row r="54" spans="1:33" s="1783" customFormat="1" ht="20.25" customHeight="1" thickBot="1">
      <c r="A54" s="1246" t="s">
        <v>1828</v>
      </c>
      <c r="B54" s="1776"/>
      <c r="C54" s="1188">
        <v>103776</v>
      </c>
      <c r="D54" s="1188">
        <v>377469</v>
      </c>
      <c r="E54" s="1188">
        <v>316501</v>
      </c>
      <c r="F54" s="1188">
        <v>103776</v>
      </c>
      <c r="G54" s="1188">
        <v>377469</v>
      </c>
      <c r="H54" s="1188">
        <v>186906</v>
      </c>
      <c r="I54" s="1777">
        <v>7241</v>
      </c>
      <c r="J54" s="1777">
        <v>80934</v>
      </c>
      <c r="K54" s="1779">
        <v>95146</v>
      </c>
      <c r="L54" s="1777">
        <v>225</v>
      </c>
      <c r="M54" s="1777"/>
      <c r="N54" s="1777"/>
      <c r="O54" s="1777">
        <v>4158</v>
      </c>
      <c r="P54" s="1777">
        <v>82295</v>
      </c>
      <c r="Q54" s="1777">
        <v>24853</v>
      </c>
      <c r="R54" s="1777"/>
      <c r="S54" s="1777">
        <v>76639</v>
      </c>
      <c r="T54" s="1777"/>
      <c r="U54" s="1777"/>
      <c r="V54" s="1780"/>
      <c r="W54" s="1780"/>
      <c r="X54" s="1777"/>
      <c r="Y54" s="1780">
        <v>198461</v>
      </c>
      <c r="Z54" s="1777"/>
      <c r="AA54" s="1777"/>
      <c r="AB54" s="1781"/>
      <c r="AC54" s="1781">
        <v>1468</v>
      </c>
      <c r="AD54" s="1071">
        <f t="shared" si="15"/>
        <v>92152</v>
      </c>
      <c r="AE54" s="1071">
        <f>SUM(G54-J54-M54-P54-S54-X54-Z54-AB54)</f>
        <v>137601</v>
      </c>
      <c r="AF54" s="1071">
        <f>SUM(H54-K54-N54-Q54-T54-AC54)-W54</f>
        <v>65439</v>
      </c>
      <c r="AG54" s="1070"/>
    </row>
    <row r="55" spans="1:33" s="1084" customFormat="1" ht="16.5" thickBot="1">
      <c r="A55" s="1050" t="s">
        <v>1181</v>
      </c>
      <c r="B55" s="1083"/>
      <c r="C55" s="1089">
        <f>SUM(C51+C50+C49+C48+C47+C46+C45+C44+C43+C42+C41+C40+C39+C38+C37+C36+C35+C34+C28+C23+C22+C18+C17+C16+C15+C8+C7+C6)+C53+C52+C54</f>
        <v>2046650</v>
      </c>
      <c r="D55" s="1089">
        <f>SUM(D51+D50+D49+D48+D47+D46+D45+D44+D43+D42+D41+D40+D39+D38+D37+D36+D35+D34+D28+D23+D22+D18+D17+D16+D15+D8+D7+D6)+D53+D52+D54</f>
        <v>2375414</v>
      </c>
      <c r="E55" s="1089">
        <f t="shared" ref="E55:AG55" si="17">SUM(E51+E50+E49+E48+E47+E46+E45+E44+E43+E42+E41+E40+E39+E38+E37+E36+E35+E34+E28+E23+E22+E18+E17+E16+E15+E8+E7+E6)+E53+E52+E54</f>
        <v>2242873</v>
      </c>
      <c r="F55" s="1089">
        <f t="shared" si="17"/>
        <v>2046650</v>
      </c>
      <c r="G55" s="1089">
        <f t="shared" si="17"/>
        <v>2375413.5499999998</v>
      </c>
      <c r="H55" s="1089">
        <f t="shared" si="17"/>
        <v>2154329.5499999998</v>
      </c>
      <c r="I55" s="1089">
        <f t="shared" si="17"/>
        <v>491773</v>
      </c>
      <c r="J55" s="1089">
        <f t="shared" si="17"/>
        <v>545498</v>
      </c>
      <c r="K55" s="1089">
        <f t="shared" si="17"/>
        <v>549704</v>
      </c>
      <c r="L55" s="1089">
        <f t="shared" si="17"/>
        <v>9029</v>
      </c>
      <c r="M55" s="1089">
        <f t="shared" si="17"/>
        <v>8804</v>
      </c>
      <c r="N55" s="1089">
        <f t="shared" si="17"/>
        <v>6603</v>
      </c>
      <c r="O55" s="1089">
        <f t="shared" si="17"/>
        <v>303331.81</v>
      </c>
      <c r="P55" s="1089">
        <f t="shared" si="17"/>
        <v>394842.25</v>
      </c>
      <c r="Q55" s="1089">
        <f t="shared" si="17"/>
        <v>335176.78999999998</v>
      </c>
      <c r="R55" s="1089">
        <f t="shared" si="17"/>
        <v>67736</v>
      </c>
      <c r="S55" s="1089">
        <f t="shared" si="17"/>
        <v>161123</v>
      </c>
      <c r="T55" s="1089">
        <f t="shared" si="17"/>
        <v>57360</v>
      </c>
      <c r="U55" s="1089">
        <f t="shared" si="17"/>
        <v>0</v>
      </c>
      <c r="V55" s="1089">
        <f t="shared" si="17"/>
        <v>3842</v>
      </c>
      <c r="W55" s="1089">
        <f t="shared" si="17"/>
        <v>3842</v>
      </c>
      <c r="X55" s="1089">
        <f t="shared" si="17"/>
        <v>0</v>
      </c>
      <c r="Y55" s="1089">
        <f t="shared" si="17"/>
        <v>198461</v>
      </c>
      <c r="Z55" s="1089">
        <f t="shared" si="17"/>
        <v>0</v>
      </c>
      <c r="AA55" s="1089">
        <f t="shared" si="17"/>
        <v>0</v>
      </c>
      <c r="AB55" s="1089">
        <f t="shared" si="17"/>
        <v>12545</v>
      </c>
      <c r="AC55" s="1089">
        <f t="shared" si="17"/>
        <v>11399</v>
      </c>
      <c r="AD55" s="1089">
        <f t="shared" si="17"/>
        <v>1174780.19</v>
      </c>
      <c r="AE55" s="1089">
        <f t="shared" si="17"/>
        <v>1054140.3</v>
      </c>
      <c r="AF55" s="1089">
        <f t="shared" si="17"/>
        <v>1190244.76</v>
      </c>
      <c r="AG55" s="1089">
        <f t="shared" si="17"/>
        <v>0</v>
      </c>
    </row>
    <row r="56" spans="1:33" ht="20.25">
      <c r="A56" s="970"/>
      <c r="B56" s="971"/>
      <c r="C56" s="972"/>
      <c r="D56" s="972"/>
      <c r="E56" s="972"/>
      <c r="F56" s="972"/>
      <c r="G56" s="972"/>
      <c r="H56" s="972"/>
      <c r="I56" s="973"/>
      <c r="J56" s="973"/>
      <c r="K56" s="973"/>
      <c r="L56" s="973"/>
      <c r="M56" s="973"/>
      <c r="N56" s="973"/>
      <c r="O56" s="973"/>
      <c r="P56" s="973"/>
      <c r="Q56" s="973"/>
      <c r="R56" s="973"/>
      <c r="S56" s="973"/>
      <c r="T56" s="973"/>
      <c r="U56" s="973"/>
      <c r="V56" s="973"/>
      <c r="W56" s="973"/>
      <c r="X56" s="973"/>
      <c r="Y56" s="973"/>
      <c r="Z56" s="973"/>
      <c r="AA56" s="973"/>
      <c r="AB56" s="973"/>
      <c r="AC56" s="973"/>
      <c r="AD56" s="974"/>
      <c r="AE56" s="974"/>
      <c r="AF56" s="974"/>
      <c r="AG56" s="974"/>
    </row>
    <row r="57" spans="1:33" ht="15" customHeight="1">
      <c r="A57" s="1821" t="s">
        <v>1505</v>
      </c>
      <c r="B57" s="1821"/>
      <c r="C57" s="1821"/>
      <c r="D57" s="1821"/>
      <c r="E57" s="1821"/>
      <c r="F57" s="1821"/>
      <c r="G57" s="1821"/>
      <c r="H57" s="1821"/>
      <c r="I57" s="1821"/>
      <c r="J57" s="1821"/>
      <c r="K57" s="1821"/>
      <c r="L57" s="1821"/>
      <c r="M57" s="1821"/>
      <c r="N57" s="1821"/>
      <c r="O57" s="1821"/>
      <c r="P57" s="1821"/>
      <c r="Q57" s="1821"/>
      <c r="R57" s="1821"/>
      <c r="S57" s="1821"/>
      <c r="T57" s="1821"/>
      <c r="U57" s="1821"/>
      <c r="V57" s="1821"/>
      <c r="W57" s="1821"/>
      <c r="X57" s="1821"/>
      <c r="Y57" s="1821"/>
      <c r="Z57" s="1821"/>
      <c r="AA57" s="1821"/>
      <c r="AB57" s="1821"/>
      <c r="AC57" s="1821"/>
      <c r="AD57" s="1821"/>
      <c r="AE57" s="1821"/>
      <c r="AF57" s="1821"/>
      <c r="AG57" s="1821"/>
    </row>
    <row r="58" spans="1:33">
      <c r="A58" s="1821"/>
      <c r="B58" s="1821"/>
      <c r="C58" s="1821"/>
      <c r="D58" s="1821"/>
      <c r="E58" s="1821"/>
      <c r="F58" s="1821"/>
      <c r="G58" s="1821"/>
      <c r="H58" s="1821"/>
      <c r="I58" s="1821"/>
      <c r="J58" s="1821"/>
      <c r="K58" s="1821"/>
      <c r="L58" s="1821"/>
      <c r="M58" s="1821"/>
      <c r="N58" s="1821"/>
      <c r="O58" s="1821"/>
      <c r="P58" s="1821"/>
      <c r="Q58" s="1821"/>
      <c r="R58" s="1821"/>
      <c r="S58" s="1821"/>
      <c r="T58" s="1821"/>
      <c r="U58" s="1821"/>
      <c r="V58" s="1821"/>
      <c r="W58" s="1821"/>
      <c r="X58" s="1821"/>
      <c r="Y58" s="1821"/>
      <c r="Z58" s="1821"/>
      <c r="AA58" s="1821"/>
      <c r="AB58" s="1821"/>
      <c r="AC58" s="1821"/>
      <c r="AD58" s="1821"/>
      <c r="AE58" s="1821"/>
      <c r="AF58" s="1821"/>
      <c r="AG58" s="1821"/>
    </row>
    <row r="59" spans="1:33">
      <c r="A59" s="1821"/>
      <c r="B59" s="1821"/>
      <c r="C59" s="1821"/>
      <c r="D59" s="1821"/>
      <c r="E59" s="1821"/>
      <c r="F59" s="1821"/>
      <c r="G59" s="1821"/>
      <c r="H59" s="1821"/>
      <c r="I59" s="1821"/>
      <c r="J59" s="1821"/>
      <c r="K59" s="1821"/>
      <c r="L59" s="1821"/>
      <c r="M59" s="1821"/>
      <c r="N59" s="1821"/>
      <c r="O59" s="1821"/>
      <c r="P59" s="1821"/>
      <c r="Q59" s="1821"/>
      <c r="R59" s="1821"/>
      <c r="S59" s="1821"/>
      <c r="T59" s="1821"/>
      <c r="U59" s="1821"/>
      <c r="V59" s="1821"/>
      <c r="W59" s="1821"/>
      <c r="X59" s="1821"/>
      <c r="Y59" s="1821"/>
      <c r="Z59" s="1821"/>
      <c r="AA59" s="1821"/>
      <c r="AB59" s="1821"/>
      <c r="AC59" s="1821"/>
      <c r="AD59" s="1821"/>
      <c r="AE59" s="1821"/>
      <c r="AF59" s="1821"/>
      <c r="AG59" s="1821"/>
    </row>
    <row r="60" spans="1:33">
      <c r="A60" s="1821"/>
      <c r="B60" s="1821"/>
      <c r="C60" s="1821"/>
      <c r="D60" s="1821"/>
      <c r="E60" s="1821"/>
      <c r="F60" s="1821"/>
      <c r="G60" s="1821"/>
      <c r="H60" s="1821"/>
      <c r="I60" s="1821"/>
      <c r="J60" s="1821"/>
      <c r="K60" s="1821"/>
      <c r="L60" s="1821"/>
      <c r="M60" s="1821"/>
      <c r="N60" s="1821"/>
      <c r="O60" s="1821"/>
      <c r="P60" s="1821"/>
      <c r="Q60" s="1821"/>
      <c r="R60" s="1821"/>
      <c r="S60" s="1821"/>
      <c r="T60" s="1821"/>
      <c r="U60" s="1821"/>
      <c r="V60" s="1821"/>
      <c r="W60" s="1821"/>
      <c r="X60" s="1821"/>
      <c r="Y60" s="1821"/>
      <c r="Z60" s="1821"/>
      <c r="AA60" s="1821"/>
      <c r="AB60" s="1821"/>
      <c r="AC60" s="1821"/>
      <c r="AD60" s="1821"/>
      <c r="AE60" s="1821"/>
      <c r="AF60" s="1821"/>
      <c r="AG60" s="1821"/>
    </row>
    <row r="61" spans="1:33">
      <c r="A61" s="1821"/>
      <c r="B61" s="1821"/>
      <c r="C61" s="1821"/>
      <c r="D61" s="1821"/>
      <c r="E61" s="1821"/>
      <c r="F61" s="1821"/>
      <c r="G61" s="1821"/>
      <c r="H61" s="1821"/>
      <c r="I61" s="1821"/>
      <c r="J61" s="1821"/>
      <c r="K61" s="1821"/>
      <c r="L61" s="1821"/>
      <c r="M61" s="1821"/>
      <c r="N61" s="1821"/>
      <c r="O61" s="1821"/>
      <c r="P61" s="1821"/>
      <c r="Q61" s="1821"/>
      <c r="R61" s="1821"/>
      <c r="S61" s="1821"/>
      <c r="T61" s="1821"/>
      <c r="U61" s="1821"/>
      <c r="V61" s="1821"/>
      <c r="W61" s="1821"/>
      <c r="X61" s="1821"/>
      <c r="Y61" s="1821"/>
      <c r="Z61" s="1821"/>
      <c r="AA61" s="1821"/>
      <c r="AB61" s="1821"/>
      <c r="AC61" s="1821"/>
      <c r="AD61" s="1821"/>
      <c r="AE61" s="1821"/>
      <c r="AF61" s="1821"/>
      <c r="AG61" s="1821"/>
    </row>
    <row r="62" spans="1:33">
      <c r="A62" s="1821"/>
      <c r="B62" s="1821"/>
      <c r="C62" s="1821"/>
      <c r="D62" s="1821"/>
      <c r="E62" s="1821"/>
      <c r="F62" s="1821"/>
      <c r="G62" s="1821"/>
      <c r="H62" s="1821"/>
      <c r="I62" s="1821"/>
      <c r="J62" s="1821"/>
      <c r="K62" s="1821"/>
      <c r="L62" s="1821"/>
      <c r="M62" s="1821"/>
      <c r="N62" s="1821"/>
      <c r="O62" s="1821"/>
      <c r="P62" s="1821"/>
      <c r="Q62" s="1821"/>
      <c r="R62" s="1821"/>
      <c r="S62" s="1821"/>
      <c r="T62" s="1821"/>
      <c r="U62" s="1821"/>
      <c r="V62" s="1821"/>
      <c r="W62" s="1821"/>
      <c r="X62" s="1821"/>
      <c r="Y62" s="1821"/>
      <c r="Z62" s="1821"/>
      <c r="AA62" s="1821"/>
      <c r="AB62" s="1821"/>
      <c r="AC62" s="1821"/>
      <c r="AD62" s="1821"/>
      <c r="AE62" s="1821"/>
      <c r="AF62" s="1821"/>
      <c r="AG62" s="1821"/>
    </row>
    <row r="63" spans="1:33">
      <c r="A63" s="1821"/>
      <c r="B63" s="1821"/>
      <c r="C63" s="1821"/>
      <c r="D63" s="1821"/>
      <c r="E63" s="1821"/>
      <c r="F63" s="1821"/>
      <c r="G63" s="1821"/>
      <c r="H63" s="1821"/>
      <c r="I63" s="1821"/>
      <c r="J63" s="1821"/>
      <c r="K63" s="1821"/>
      <c r="L63" s="1821"/>
      <c r="M63" s="1821"/>
      <c r="N63" s="1821"/>
      <c r="O63" s="1821"/>
      <c r="P63" s="1821"/>
      <c r="Q63" s="1821"/>
      <c r="R63" s="1821"/>
      <c r="S63" s="1821"/>
      <c r="T63" s="1821"/>
      <c r="U63" s="1821"/>
      <c r="V63" s="1821"/>
      <c r="W63" s="1821"/>
      <c r="X63" s="1821"/>
      <c r="Y63" s="1821"/>
      <c r="Z63" s="1821"/>
      <c r="AA63" s="1821"/>
      <c r="AB63" s="1821"/>
      <c r="AC63" s="1821"/>
      <c r="AD63" s="1821"/>
      <c r="AE63" s="1821"/>
      <c r="AF63" s="1821"/>
      <c r="AG63" s="1821"/>
    </row>
    <row r="64" spans="1:33">
      <c r="A64" s="1821"/>
      <c r="B64" s="1821"/>
      <c r="C64" s="1821"/>
      <c r="D64" s="1821"/>
      <c r="E64" s="1821"/>
      <c r="F64" s="1821"/>
      <c r="G64" s="1821"/>
      <c r="H64" s="1821"/>
      <c r="I64" s="1821"/>
      <c r="J64" s="1821"/>
      <c r="K64" s="1821"/>
      <c r="L64" s="1821"/>
      <c r="M64" s="1821"/>
      <c r="N64" s="1821"/>
      <c r="O64" s="1821"/>
      <c r="P64" s="1821"/>
      <c r="Q64" s="1821"/>
      <c r="R64" s="1821"/>
      <c r="S64" s="1821"/>
      <c r="T64" s="1821"/>
      <c r="U64" s="1821"/>
      <c r="V64" s="1821"/>
      <c r="W64" s="1821"/>
      <c r="X64" s="1821"/>
      <c r="Y64" s="1821"/>
      <c r="Z64" s="1821"/>
      <c r="AA64" s="1821"/>
      <c r="AB64" s="1821"/>
      <c r="AC64" s="1821"/>
      <c r="AD64" s="1821"/>
      <c r="AE64" s="1821"/>
      <c r="AF64" s="1821"/>
      <c r="AG64" s="1821"/>
    </row>
    <row r="65" spans="1:33">
      <c r="A65" s="1821"/>
      <c r="B65" s="1821"/>
      <c r="C65" s="1821"/>
      <c r="D65" s="1821"/>
      <c r="E65" s="1821"/>
      <c r="F65" s="1821"/>
      <c r="G65" s="1821"/>
      <c r="H65" s="1821"/>
      <c r="I65" s="1821"/>
      <c r="J65" s="1821"/>
      <c r="K65" s="1821"/>
      <c r="L65" s="1821"/>
      <c r="M65" s="1821"/>
      <c r="N65" s="1821"/>
      <c r="O65" s="1821"/>
      <c r="P65" s="1821"/>
      <c r="Q65" s="1821"/>
      <c r="R65" s="1821"/>
      <c r="S65" s="1821"/>
      <c r="T65" s="1821"/>
      <c r="U65" s="1821"/>
      <c r="V65" s="1821"/>
      <c r="W65" s="1821"/>
      <c r="X65" s="1821"/>
      <c r="Y65" s="1821"/>
      <c r="Z65" s="1821"/>
      <c r="AA65" s="1821"/>
      <c r="AB65" s="1821"/>
      <c r="AC65" s="1821"/>
      <c r="AD65" s="1821"/>
      <c r="AE65" s="1821"/>
      <c r="AF65" s="1821"/>
      <c r="AG65" s="1821"/>
    </row>
    <row r="66" spans="1:33">
      <c r="A66" s="1821"/>
      <c r="B66" s="1821"/>
      <c r="C66" s="1821"/>
      <c r="D66" s="1821"/>
      <c r="E66" s="1821"/>
      <c r="F66" s="1821"/>
      <c r="G66" s="1821"/>
      <c r="H66" s="1821"/>
      <c r="I66" s="1821"/>
      <c r="J66" s="1821"/>
      <c r="K66" s="1821"/>
      <c r="L66" s="1821"/>
      <c r="M66" s="1821"/>
      <c r="N66" s="1821"/>
      <c r="O66" s="1821"/>
      <c r="P66" s="1821"/>
      <c r="Q66" s="1821"/>
      <c r="R66" s="1821"/>
      <c r="S66" s="1821"/>
      <c r="T66" s="1821"/>
      <c r="U66" s="1821"/>
      <c r="V66" s="1821"/>
      <c r="W66" s="1821"/>
      <c r="X66" s="1821"/>
      <c r="Y66" s="1821"/>
      <c r="Z66" s="1821"/>
      <c r="AA66" s="1821"/>
      <c r="AB66" s="1821"/>
      <c r="AC66" s="1821"/>
      <c r="AD66" s="1821"/>
      <c r="AE66" s="1821"/>
      <c r="AF66" s="1821"/>
      <c r="AG66" s="1821"/>
    </row>
    <row r="67" spans="1:33">
      <c r="A67" s="1821"/>
      <c r="B67" s="1821"/>
      <c r="C67" s="1821"/>
      <c r="D67" s="1821"/>
      <c r="E67" s="1821"/>
      <c r="F67" s="1821"/>
      <c r="G67" s="1821"/>
      <c r="H67" s="1821"/>
      <c r="I67" s="1821"/>
      <c r="J67" s="1821"/>
      <c r="K67" s="1821"/>
      <c r="L67" s="1821"/>
      <c r="M67" s="1821"/>
      <c r="N67" s="1821"/>
      <c r="O67" s="1821"/>
      <c r="P67" s="1821"/>
      <c r="Q67" s="1821"/>
      <c r="R67" s="1821"/>
      <c r="S67" s="1821"/>
      <c r="T67" s="1821"/>
      <c r="U67" s="1821"/>
      <c r="V67" s="1821"/>
      <c r="W67" s="1821"/>
      <c r="X67" s="1821"/>
      <c r="Y67" s="1821"/>
      <c r="Z67" s="1821"/>
      <c r="AA67" s="1821"/>
      <c r="AB67" s="1821"/>
      <c r="AC67" s="1821"/>
      <c r="AD67" s="1821"/>
      <c r="AE67" s="1821"/>
      <c r="AF67" s="1821"/>
      <c r="AG67" s="1821"/>
    </row>
    <row r="68" spans="1:33">
      <c r="A68" s="1821"/>
      <c r="B68" s="1821"/>
      <c r="C68" s="1821"/>
      <c r="D68" s="1821"/>
      <c r="E68" s="1821"/>
      <c r="F68" s="1821"/>
      <c r="G68" s="1821"/>
      <c r="H68" s="1821"/>
      <c r="I68" s="1821"/>
      <c r="J68" s="1821"/>
      <c r="K68" s="1821"/>
      <c r="L68" s="1821"/>
      <c r="M68" s="1821"/>
      <c r="N68" s="1821"/>
      <c r="O68" s="1821"/>
      <c r="P68" s="1821"/>
      <c r="Q68" s="1821"/>
      <c r="R68" s="1821"/>
      <c r="S68" s="1821"/>
      <c r="T68" s="1821"/>
      <c r="U68" s="1821"/>
      <c r="V68" s="1821"/>
      <c r="W68" s="1821"/>
      <c r="X68" s="1821"/>
      <c r="Y68" s="1821"/>
      <c r="Z68" s="1821"/>
      <c r="AA68" s="1821"/>
      <c r="AB68" s="1821"/>
      <c r="AC68" s="1821"/>
      <c r="AD68" s="1821"/>
      <c r="AE68" s="1821"/>
      <c r="AF68" s="1821"/>
      <c r="AG68" s="1821"/>
    </row>
    <row r="69" spans="1:33">
      <c r="A69" s="1821"/>
      <c r="B69" s="1821"/>
      <c r="C69" s="1821"/>
      <c r="D69" s="1821"/>
      <c r="E69" s="1821"/>
      <c r="F69" s="1821"/>
      <c r="G69" s="1821"/>
      <c r="H69" s="1821"/>
      <c r="I69" s="1821"/>
      <c r="J69" s="1821"/>
      <c r="K69" s="1821"/>
      <c r="L69" s="1821"/>
      <c r="M69" s="1821"/>
      <c r="N69" s="1821"/>
      <c r="O69" s="1821"/>
      <c r="P69" s="1821"/>
      <c r="Q69" s="1821"/>
      <c r="R69" s="1821"/>
      <c r="S69" s="1821"/>
      <c r="T69" s="1821"/>
      <c r="U69" s="1821"/>
      <c r="V69" s="1821"/>
      <c r="W69" s="1821"/>
      <c r="X69" s="1821"/>
      <c r="Y69" s="1821"/>
      <c r="Z69" s="1821"/>
      <c r="AA69" s="1821"/>
      <c r="AB69" s="1821"/>
      <c r="AC69" s="1821"/>
      <c r="AD69" s="1821"/>
      <c r="AE69" s="1821"/>
      <c r="AF69" s="1821"/>
      <c r="AG69" s="1821"/>
    </row>
    <row r="70" spans="1:33">
      <c r="A70" s="1821"/>
      <c r="B70" s="1821"/>
      <c r="C70" s="1821"/>
      <c r="D70" s="1821"/>
      <c r="E70" s="1821"/>
      <c r="F70" s="1821"/>
      <c r="G70" s="1821"/>
      <c r="H70" s="1821"/>
      <c r="I70" s="1821"/>
      <c r="J70" s="1821"/>
      <c r="K70" s="1821"/>
      <c r="L70" s="1821"/>
      <c r="M70" s="1821"/>
      <c r="N70" s="1821"/>
      <c r="O70" s="1821"/>
      <c r="P70" s="1821"/>
      <c r="Q70" s="1821"/>
      <c r="R70" s="1821"/>
      <c r="S70" s="1821"/>
      <c r="T70" s="1821"/>
      <c r="U70" s="1821"/>
      <c r="V70" s="1821"/>
      <c r="W70" s="1821"/>
      <c r="X70" s="1821"/>
      <c r="Y70" s="1821"/>
      <c r="Z70" s="1821"/>
      <c r="AA70" s="1821"/>
      <c r="AB70" s="1821"/>
      <c r="AC70" s="1821"/>
      <c r="AD70" s="1821"/>
      <c r="AE70" s="1821"/>
      <c r="AF70" s="1821"/>
      <c r="AG70" s="1821"/>
    </row>
    <row r="71" spans="1:33">
      <c r="A71" s="1821"/>
      <c r="B71" s="1821"/>
      <c r="C71" s="1821"/>
      <c r="D71" s="1821"/>
      <c r="E71" s="1821"/>
      <c r="F71" s="1821"/>
      <c r="G71" s="1821"/>
      <c r="H71" s="1821"/>
      <c r="I71" s="1821"/>
      <c r="J71" s="1821"/>
      <c r="K71" s="1821"/>
      <c r="L71" s="1821"/>
      <c r="M71" s="1821"/>
      <c r="N71" s="1821"/>
      <c r="O71" s="1821"/>
      <c r="P71" s="1821"/>
      <c r="Q71" s="1821"/>
      <c r="R71" s="1821"/>
      <c r="S71" s="1821"/>
      <c r="T71" s="1821"/>
      <c r="U71" s="1821"/>
      <c r="V71" s="1821"/>
      <c r="W71" s="1821"/>
      <c r="X71" s="1821"/>
      <c r="Y71" s="1821"/>
      <c r="Z71" s="1821"/>
      <c r="AA71" s="1821"/>
      <c r="AB71" s="1821"/>
      <c r="AC71" s="1821"/>
      <c r="AD71" s="1821"/>
      <c r="AE71" s="1821"/>
      <c r="AF71" s="1821"/>
      <c r="AG71" s="1821"/>
    </row>
    <row r="72" spans="1:33">
      <c r="A72" s="1821"/>
      <c r="B72" s="1821"/>
      <c r="C72" s="1821"/>
      <c r="D72" s="1821"/>
      <c r="E72" s="1821"/>
      <c r="F72" s="1821"/>
      <c r="G72" s="1821"/>
      <c r="H72" s="1821"/>
      <c r="I72" s="1821"/>
      <c r="J72" s="1821"/>
      <c r="K72" s="1821"/>
      <c r="L72" s="1821"/>
      <c r="M72" s="1821"/>
      <c r="N72" s="1821"/>
      <c r="O72" s="1821"/>
      <c r="P72" s="1821"/>
      <c r="Q72" s="1821"/>
      <c r="R72" s="1821"/>
      <c r="S72" s="1821"/>
      <c r="T72" s="1821"/>
      <c r="U72" s="1821"/>
      <c r="V72" s="1821"/>
      <c r="W72" s="1821"/>
      <c r="X72" s="1821"/>
      <c r="Y72" s="1821"/>
      <c r="Z72" s="1821"/>
      <c r="AA72" s="1821"/>
      <c r="AB72" s="1821"/>
      <c r="AC72" s="1821"/>
      <c r="AD72" s="1821"/>
      <c r="AE72" s="1821"/>
      <c r="AF72" s="1821"/>
      <c r="AG72" s="1821"/>
    </row>
    <row r="73" spans="1:33">
      <c r="A73" s="1821"/>
      <c r="B73" s="1821"/>
      <c r="C73" s="1821"/>
      <c r="D73" s="1821"/>
      <c r="E73" s="1821"/>
      <c r="F73" s="1821"/>
      <c r="G73" s="1821"/>
      <c r="H73" s="1821"/>
      <c r="I73" s="1821"/>
      <c r="J73" s="1821"/>
      <c r="K73" s="1821"/>
      <c r="L73" s="1821"/>
      <c r="M73" s="1821"/>
      <c r="N73" s="1821"/>
      <c r="O73" s="1821"/>
      <c r="P73" s="1821"/>
      <c r="Q73" s="1821"/>
      <c r="R73" s="1821"/>
      <c r="S73" s="1821"/>
      <c r="T73" s="1821"/>
      <c r="U73" s="1821"/>
      <c r="V73" s="1821"/>
      <c r="W73" s="1821"/>
      <c r="X73" s="1821"/>
      <c r="Y73" s="1821"/>
      <c r="Z73" s="1821"/>
      <c r="AA73" s="1821"/>
      <c r="AB73" s="1821"/>
      <c r="AC73" s="1821"/>
      <c r="AD73" s="1821"/>
      <c r="AE73" s="1821"/>
      <c r="AF73" s="1821"/>
      <c r="AG73" s="1821"/>
    </row>
    <row r="74" spans="1:33">
      <c r="A74" s="1821"/>
      <c r="B74" s="1821"/>
      <c r="C74" s="1821"/>
      <c r="D74" s="1821"/>
      <c r="E74" s="1821"/>
      <c r="F74" s="1821"/>
      <c r="G74" s="1821"/>
      <c r="H74" s="1821"/>
      <c r="I74" s="1821"/>
      <c r="J74" s="1821"/>
      <c r="K74" s="1821"/>
      <c r="L74" s="1821"/>
      <c r="M74" s="1821"/>
      <c r="N74" s="1821"/>
      <c r="O74" s="1821"/>
      <c r="P74" s="1821"/>
      <c r="Q74" s="1821"/>
      <c r="R74" s="1821"/>
      <c r="S74" s="1821"/>
      <c r="T74" s="1821"/>
      <c r="U74" s="1821"/>
      <c r="V74" s="1821"/>
      <c r="W74" s="1821"/>
      <c r="X74" s="1821"/>
      <c r="Y74" s="1821"/>
      <c r="Z74" s="1821"/>
      <c r="AA74" s="1821"/>
      <c r="AB74" s="1821"/>
      <c r="AC74" s="1821"/>
      <c r="AD74" s="1821"/>
      <c r="AE74" s="1821"/>
      <c r="AF74" s="1821"/>
      <c r="AG74" s="1821"/>
    </row>
    <row r="75" spans="1:33">
      <c r="A75" s="1821"/>
      <c r="B75" s="1821"/>
      <c r="C75" s="1821"/>
      <c r="D75" s="1821"/>
      <c r="E75" s="1821"/>
      <c r="F75" s="1821"/>
      <c r="G75" s="1821"/>
      <c r="H75" s="1821"/>
      <c r="I75" s="1821"/>
      <c r="J75" s="1821"/>
      <c r="K75" s="1821"/>
      <c r="L75" s="1821"/>
      <c r="M75" s="1821"/>
      <c r="N75" s="1821"/>
      <c r="O75" s="1821"/>
      <c r="P75" s="1821"/>
      <c r="Q75" s="1821"/>
      <c r="R75" s="1821"/>
      <c r="S75" s="1821"/>
      <c r="T75" s="1821"/>
      <c r="U75" s="1821"/>
      <c r="V75" s="1821"/>
      <c r="W75" s="1821"/>
      <c r="X75" s="1821"/>
      <c r="Y75" s="1821"/>
      <c r="Z75" s="1821"/>
      <c r="AA75" s="1821"/>
      <c r="AB75" s="1821"/>
      <c r="AC75" s="1821"/>
      <c r="AD75" s="1821"/>
      <c r="AE75" s="1821"/>
      <c r="AF75" s="1821"/>
      <c r="AG75" s="1821"/>
    </row>
    <row r="76" spans="1:33">
      <c r="A76" s="1821"/>
      <c r="B76" s="1821"/>
      <c r="C76" s="1821"/>
      <c r="D76" s="1821"/>
      <c r="E76" s="1821"/>
      <c r="F76" s="1821"/>
      <c r="G76" s="1821"/>
      <c r="H76" s="1821"/>
      <c r="I76" s="1821"/>
      <c r="J76" s="1821"/>
      <c r="K76" s="1821"/>
      <c r="L76" s="1821"/>
      <c r="M76" s="1821"/>
      <c r="N76" s="1821"/>
      <c r="O76" s="1821"/>
      <c r="P76" s="1821"/>
      <c r="Q76" s="1821"/>
      <c r="R76" s="1821"/>
      <c r="S76" s="1821"/>
      <c r="T76" s="1821"/>
      <c r="U76" s="1821"/>
      <c r="V76" s="1821"/>
      <c r="W76" s="1821"/>
      <c r="X76" s="1821"/>
      <c r="Y76" s="1821"/>
      <c r="Z76" s="1821"/>
      <c r="AA76" s="1821"/>
      <c r="AB76" s="1821"/>
      <c r="AC76" s="1821"/>
      <c r="AD76" s="1821"/>
      <c r="AE76" s="1821"/>
      <c r="AF76" s="1821"/>
      <c r="AG76" s="1821"/>
    </row>
    <row r="78" spans="1:33">
      <c r="I78" s="968" t="s">
        <v>1827</v>
      </c>
    </row>
    <row r="79" spans="1:33" ht="18.75">
      <c r="C79" s="975">
        <v>74549</v>
      </c>
      <c r="D79" s="1058"/>
      <c r="E79" s="1058"/>
      <c r="F79" s="976">
        <f>SUM(C79/C89)*100</f>
        <v>9.4554692791423882</v>
      </c>
      <c r="G79" s="1060"/>
      <c r="H79" s="1060"/>
      <c r="I79" s="975">
        <f>SUM(C91*F79)/100</f>
        <v>5201.4536504562275</v>
      </c>
      <c r="J79" s="1086"/>
      <c r="K79" s="1086"/>
    </row>
    <row r="80" spans="1:33" ht="18.75">
      <c r="C80" s="975">
        <v>15240</v>
      </c>
      <c r="D80" s="1058"/>
      <c r="E80" s="1058"/>
      <c r="F80" s="976">
        <f>SUM(C80/C89)*100</f>
        <v>1.9329749804038954</v>
      </c>
      <c r="G80" s="1060"/>
      <c r="H80" s="1060"/>
      <c r="I80" s="975">
        <f>SUM(C91*F80)/100</f>
        <v>1063.3295367201829</v>
      </c>
      <c r="J80" s="1086"/>
      <c r="K80" s="1086"/>
    </row>
    <row r="81" spans="3:11" ht="18.75">
      <c r="C81" s="975">
        <v>1969</v>
      </c>
      <c r="D81" s="1058"/>
      <c r="E81" s="1058"/>
      <c r="F81" s="976">
        <f>SUM(C81/C89)*100</f>
        <v>0.24973935278315421</v>
      </c>
      <c r="G81" s="1060"/>
      <c r="H81" s="1060"/>
      <c r="I81" s="975">
        <f>SUM(C91*F81)/100</f>
        <v>137.38161796601312</v>
      </c>
      <c r="J81" s="1086"/>
      <c r="K81" s="1086"/>
    </row>
    <row r="82" spans="3:11" ht="18.75">
      <c r="C82" s="975">
        <v>5300</v>
      </c>
      <c r="D82" s="1058"/>
      <c r="E82" s="1058"/>
      <c r="F82" s="976">
        <f>SUM(C82/C89)*100</f>
        <v>0.67222883176775894</v>
      </c>
      <c r="G82" s="1060"/>
      <c r="H82" s="1060"/>
      <c r="I82" s="975">
        <f>SUM(C91*F82)/100</f>
        <v>369.7930803554442</v>
      </c>
      <c r="J82" s="1086"/>
      <c r="K82" s="1086"/>
    </row>
    <row r="83" spans="3:11" ht="18.75">
      <c r="C83" s="975">
        <v>33397</v>
      </c>
      <c r="D83" s="1058"/>
      <c r="E83" s="1058"/>
      <c r="F83" s="976">
        <f>SUM(C83/C89)*100</f>
        <v>4.2359294895373285</v>
      </c>
      <c r="G83" s="1060"/>
      <c r="H83" s="1060"/>
      <c r="I83" s="975">
        <f>SUM(C91*F83)/100</f>
        <v>2330.1848121944845</v>
      </c>
      <c r="J83" s="1086"/>
      <c r="K83" s="1086"/>
    </row>
    <row r="84" spans="3:11" ht="18.75">
      <c r="C84" s="975">
        <v>8000</v>
      </c>
      <c r="D84" s="975">
        <v>8000</v>
      </c>
      <c r="E84" s="1058"/>
      <c r="F84" s="976">
        <f>SUM(C84/C89*100)</f>
        <v>1.0146850290834097</v>
      </c>
      <c r="G84" s="1060"/>
      <c r="H84" s="1060"/>
      <c r="I84" s="975">
        <f>SUM(C91*F84)/100</f>
        <v>558.1782344987837</v>
      </c>
      <c r="J84" s="1086"/>
      <c r="K84" s="1086"/>
    </row>
    <row r="85" spans="3:11" ht="18.75">
      <c r="C85" s="975">
        <v>30000</v>
      </c>
      <c r="D85" s="1058"/>
      <c r="E85" s="1058"/>
      <c r="F85" s="976">
        <f>SUM(C85/C89)*100</f>
        <v>3.8050688590627857</v>
      </c>
      <c r="G85" s="1060"/>
      <c r="H85" s="1060"/>
      <c r="I85" s="975">
        <f>SUM(C91*F85)/100</f>
        <v>2093.1683793704383</v>
      </c>
      <c r="J85" s="1086"/>
      <c r="K85" s="1086"/>
    </row>
    <row r="86" spans="3:11" ht="18.75">
      <c r="C86" s="975">
        <v>24073</v>
      </c>
      <c r="D86" s="1058"/>
      <c r="E86" s="1058"/>
      <c r="F86" s="976">
        <f>SUM(C86/C89)*100</f>
        <v>3.0533140881406151</v>
      </c>
      <c r="G86" s="1060"/>
      <c r="H86" s="1060"/>
      <c r="I86" s="975">
        <f>SUM(C91*F86)/100</f>
        <v>1679.6280798861524</v>
      </c>
      <c r="J86" s="1086"/>
      <c r="K86" s="1086"/>
    </row>
    <row r="87" spans="3:11" ht="18.75">
      <c r="C87" s="975">
        <v>492118</v>
      </c>
      <c r="D87" s="1058"/>
      <c r="E87" s="1058"/>
      <c r="F87" s="976">
        <f>SUM(C87/C89)*100</f>
        <v>62.41809589280868</v>
      </c>
      <c r="G87" s="1060"/>
      <c r="H87" s="1060"/>
      <c r="I87" s="975">
        <f>SUM(C91*F87)/100</f>
        <v>34336.194550634056</v>
      </c>
      <c r="J87" s="1086"/>
      <c r="K87" s="1086"/>
    </row>
    <row r="88" spans="3:11" ht="18.75">
      <c r="C88" s="975">
        <v>103776</v>
      </c>
      <c r="D88" s="1058"/>
      <c r="E88" s="1058"/>
      <c r="F88" s="976">
        <f>SUM(C88/C89)*100</f>
        <v>13.162494197269989</v>
      </c>
      <c r="G88" s="1060"/>
      <c r="H88" s="1060"/>
      <c r="I88" s="975">
        <f>SUM(C91*F88)/100</f>
        <v>7240.6880579182216</v>
      </c>
      <c r="J88" s="1086"/>
      <c r="K88" s="1086"/>
    </row>
    <row r="89" spans="3:11" ht="18.75">
      <c r="C89" s="977">
        <f>SUM(C79:C88)</f>
        <v>788422</v>
      </c>
      <c r="D89" s="1059"/>
      <c r="E89" s="1059"/>
      <c r="F89" s="977">
        <f t="shared" ref="F89:I89" si="18">SUM(F79:F88)</f>
        <v>100.00000000000001</v>
      </c>
      <c r="G89" s="1059"/>
      <c r="H89" s="1059"/>
      <c r="I89" s="977">
        <f t="shared" si="18"/>
        <v>55010</v>
      </c>
      <c r="J89" s="973"/>
      <c r="K89" s="973"/>
    </row>
    <row r="90" spans="3:11" ht="18.75">
      <c r="C90" s="975"/>
      <c r="D90" s="1058"/>
      <c r="E90" s="1058"/>
      <c r="F90" s="975"/>
      <c r="G90" s="1058"/>
      <c r="H90" s="1058"/>
      <c r="I90" s="975"/>
      <c r="J90" s="1086"/>
      <c r="K90" s="1086"/>
    </row>
    <row r="91" spans="3:11" ht="18.75">
      <c r="C91" s="977">
        <v>55010</v>
      </c>
      <c r="D91" s="1059"/>
      <c r="E91" s="1059"/>
      <c r="F91" s="975"/>
      <c r="G91" s="1058"/>
      <c r="H91" s="1058"/>
      <c r="I91" s="975"/>
      <c r="J91" s="1086"/>
      <c r="K91" s="1086"/>
    </row>
    <row r="92" spans="3:11" ht="18.75">
      <c r="C92" s="975"/>
      <c r="D92" s="1058"/>
      <c r="E92" s="1058"/>
      <c r="F92" s="975"/>
      <c r="G92" s="1058"/>
      <c r="H92" s="1058"/>
      <c r="I92" s="975"/>
      <c r="J92" s="1086"/>
      <c r="K92" s="1086"/>
    </row>
    <row r="93" spans="3:11" ht="18.75">
      <c r="C93" s="975"/>
      <c r="D93" s="1058"/>
      <c r="E93" s="1058"/>
      <c r="F93" s="975"/>
      <c r="G93" s="1058"/>
      <c r="H93" s="1058"/>
      <c r="I93" s="975"/>
      <c r="J93" s="1086"/>
      <c r="K93" s="1086"/>
    </row>
  </sheetData>
  <mergeCells count="18">
    <mergeCell ref="A1:AG1"/>
    <mergeCell ref="A3:A5"/>
    <mergeCell ref="B3:B5"/>
    <mergeCell ref="X3:Z3"/>
    <mergeCell ref="C3:E4"/>
    <mergeCell ref="F3:H4"/>
    <mergeCell ref="I3:K4"/>
    <mergeCell ref="L3:N4"/>
    <mergeCell ref="O4:Q4"/>
    <mergeCell ref="O3:Q3"/>
    <mergeCell ref="AD4:AF4"/>
    <mergeCell ref="R3:W3"/>
    <mergeCell ref="U4:W4"/>
    <mergeCell ref="R4:T4"/>
    <mergeCell ref="X4:Y4"/>
    <mergeCell ref="AA3:AC4"/>
    <mergeCell ref="AD3:AG3"/>
    <mergeCell ref="A57:AG76"/>
  </mergeCells>
  <printOptions horizontalCentered="1" verticalCentered="1"/>
  <pageMargins left="0.31496062992125984" right="0.15748031496062992" top="0.31496062992125984" bottom="0.39370078740157483" header="0.15748031496062992" footer="0.15748031496062992"/>
  <pageSetup paperSize="8" scale="57" firstPageNumber="34" orientation="landscape" r:id="rId1"/>
  <headerFooter>
    <oddHeader>&amp;R&amp;12 1.3. számú melléklet</oddHeader>
    <oddFooter>&amp;C&amp;12-&amp;P -&amp;10</oddFooter>
  </headerFooter>
  <rowBreaks count="1" manualBreakCount="1">
    <brk id="55" max="1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8"/>
  <sheetViews>
    <sheetView view="pageBreakPreview" zoomScaleSheetLayoutView="100" workbookViewId="0">
      <selection activeCell="D9" sqref="D9:E9"/>
    </sheetView>
  </sheetViews>
  <sheetFormatPr defaultRowHeight="12.75"/>
  <cols>
    <col min="1" max="1" width="3.1640625" style="1473" customWidth="1"/>
    <col min="2" max="2" width="2.83203125" style="1473" customWidth="1"/>
    <col min="3" max="3" width="3" style="1473" customWidth="1"/>
    <col min="4" max="4" width="71.6640625" style="1473" customWidth="1"/>
    <col min="5" max="5" width="22.6640625" style="1253" customWidth="1"/>
    <col min="6" max="256" width="9.33203125" style="1473"/>
    <col min="257" max="257" width="3.1640625" style="1473" customWidth="1"/>
    <col min="258" max="258" width="2.83203125" style="1473" customWidth="1"/>
    <col min="259" max="259" width="3" style="1473" customWidth="1"/>
    <col min="260" max="260" width="71.6640625" style="1473" customWidth="1"/>
    <col min="261" max="261" width="22.6640625" style="1473" customWidth="1"/>
    <col min="262" max="512" width="9.33203125" style="1473"/>
    <col min="513" max="513" width="3.1640625" style="1473" customWidth="1"/>
    <col min="514" max="514" width="2.83203125" style="1473" customWidth="1"/>
    <col min="515" max="515" width="3" style="1473" customWidth="1"/>
    <col min="516" max="516" width="71.6640625" style="1473" customWidth="1"/>
    <col min="517" max="517" width="22.6640625" style="1473" customWidth="1"/>
    <col min="518" max="768" width="9.33203125" style="1473"/>
    <col min="769" max="769" width="3.1640625" style="1473" customWidth="1"/>
    <col min="770" max="770" width="2.83203125" style="1473" customWidth="1"/>
    <col min="771" max="771" width="3" style="1473" customWidth="1"/>
    <col min="772" max="772" width="71.6640625" style="1473" customWidth="1"/>
    <col min="773" max="773" width="22.6640625" style="1473" customWidth="1"/>
    <col min="774" max="1024" width="9.33203125" style="1473"/>
    <col min="1025" max="1025" width="3.1640625" style="1473" customWidth="1"/>
    <col min="1026" max="1026" width="2.83203125" style="1473" customWidth="1"/>
    <col min="1027" max="1027" width="3" style="1473" customWidth="1"/>
    <col min="1028" max="1028" width="71.6640625" style="1473" customWidth="1"/>
    <col min="1029" max="1029" width="22.6640625" style="1473" customWidth="1"/>
    <col min="1030" max="1280" width="9.33203125" style="1473"/>
    <col min="1281" max="1281" width="3.1640625" style="1473" customWidth="1"/>
    <col min="1282" max="1282" width="2.83203125" style="1473" customWidth="1"/>
    <col min="1283" max="1283" width="3" style="1473" customWidth="1"/>
    <col min="1284" max="1284" width="71.6640625" style="1473" customWidth="1"/>
    <col min="1285" max="1285" width="22.6640625" style="1473" customWidth="1"/>
    <col min="1286" max="1536" width="9.33203125" style="1473"/>
    <col min="1537" max="1537" width="3.1640625" style="1473" customWidth="1"/>
    <col min="1538" max="1538" width="2.83203125" style="1473" customWidth="1"/>
    <col min="1539" max="1539" width="3" style="1473" customWidth="1"/>
    <col min="1540" max="1540" width="71.6640625" style="1473" customWidth="1"/>
    <col min="1541" max="1541" width="22.6640625" style="1473" customWidth="1"/>
    <col min="1542" max="1792" width="9.33203125" style="1473"/>
    <col min="1793" max="1793" width="3.1640625" style="1473" customWidth="1"/>
    <col min="1794" max="1794" width="2.83203125" style="1473" customWidth="1"/>
    <col min="1795" max="1795" width="3" style="1473" customWidth="1"/>
    <col min="1796" max="1796" width="71.6640625" style="1473" customWidth="1"/>
    <col min="1797" max="1797" width="22.6640625" style="1473" customWidth="1"/>
    <col min="1798" max="2048" width="9.33203125" style="1473"/>
    <col min="2049" max="2049" width="3.1640625" style="1473" customWidth="1"/>
    <col min="2050" max="2050" width="2.83203125" style="1473" customWidth="1"/>
    <col min="2051" max="2051" width="3" style="1473" customWidth="1"/>
    <col min="2052" max="2052" width="71.6640625" style="1473" customWidth="1"/>
    <col min="2053" max="2053" width="22.6640625" style="1473" customWidth="1"/>
    <col min="2054" max="2304" width="9.33203125" style="1473"/>
    <col min="2305" max="2305" width="3.1640625" style="1473" customWidth="1"/>
    <col min="2306" max="2306" width="2.83203125" style="1473" customWidth="1"/>
    <col min="2307" max="2307" width="3" style="1473" customWidth="1"/>
    <col min="2308" max="2308" width="71.6640625" style="1473" customWidth="1"/>
    <col min="2309" max="2309" width="22.6640625" style="1473" customWidth="1"/>
    <col min="2310" max="2560" width="9.33203125" style="1473"/>
    <col min="2561" max="2561" width="3.1640625" style="1473" customWidth="1"/>
    <col min="2562" max="2562" width="2.83203125" style="1473" customWidth="1"/>
    <col min="2563" max="2563" width="3" style="1473" customWidth="1"/>
    <col min="2564" max="2564" width="71.6640625" style="1473" customWidth="1"/>
    <col min="2565" max="2565" width="22.6640625" style="1473" customWidth="1"/>
    <col min="2566" max="2816" width="9.33203125" style="1473"/>
    <col min="2817" max="2817" width="3.1640625" style="1473" customWidth="1"/>
    <col min="2818" max="2818" width="2.83203125" style="1473" customWidth="1"/>
    <col min="2819" max="2819" width="3" style="1473" customWidth="1"/>
    <col min="2820" max="2820" width="71.6640625" style="1473" customWidth="1"/>
    <col min="2821" max="2821" width="22.6640625" style="1473" customWidth="1"/>
    <col min="2822" max="3072" width="9.33203125" style="1473"/>
    <col min="3073" max="3073" width="3.1640625" style="1473" customWidth="1"/>
    <col min="3074" max="3074" width="2.83203125" style="1473" customWidth="1"/>
    <col min="3075" max="3075" width="3" style="1473" customWidth="1"/>
    <col min="3076" max="3076" width="71.6640625" style="1473" customWidth="1"/>
    <col min="3077" max="3077" width="22.6640625" style="1473" customWidth="1"/>
    <col min="3078" max="3328" width="9.33203125" style="1473"/>
    <col min="3329" max="3329" width="3.1640625" style="1473" customWidth="1"/>
    <col min="3330" max="3330" width="2.83203125" style="1473" customWidth="1"/>
    <col min="3331" max="3331" width="3" style="1473" customWidth="1"/>
    <col min="3332" max="3332" width="71.6640625" style="1473" customWidth="1"/>
    <col min="3333" max="3333" width="22.6640625" style="1473" customWidth="1"/>
    <col min="3334" max="3584" width="9.33203125" style="1473"/>
    <col min="3585" max="3585" width="3.1640625" style="1473" customWidth="1"/>
    <col min="3586" max="3586" width="2.83203125" style="1473" customWidth="1"/>
    <col min="3587" max="3587" width="3" style="1473" customWidth="1"/>
    <col min="3588" max="3588" width="71.6640625" style="1473" customWidth="1"/>
    <col min="3589" max="3589" width="22.6640625" style="1473" customWidth="1"/>
    <col min="3590" max="3840" width="9.33203125" style="1473"/>
    <col min="3841" max="3841" width="3.1640625" style="1473" customWidth="1"/>
    <col min="3842" max="3842" width="2.83203125" style="1473" customWidth="1"/>
    <col min="3843" max="3843" width="3" style="1473" customWidth="1"/>
    <col min="3844" max="3844" width="71.6640625" style="1473" customWidth="1"/>
    <col min="3845" max="3845" width="22.6640625" style="1473" customWidth="1"/>
    <col min="3846" max="4096" width="9.33203125" style="1473"/>
    <col min="4097" max="4097" width="3.1640625" style="1473" customWidth="1"/>
    <col min="4098" max="4098" width="2.83203125" style="1473" customWidth="1"/>
    <col min="4099" max="4099" width="3" style="1473" customWidth="1"/>
    <col min="4100" max="4100" width="71.6640625" style="1473" customWidth="1"/>
    <col min="4101" max="4101" width="22.6640625" style="1473" customWidth="1"/>
    <col min="4102" max="4352" width="9.33203125" style="1473"/>
    <col min="4353" max="4353" width="3.1640625" style="1473" customWidth="1"/>
    <col min="4354" max="4354" width="2.83203125" style="1473" customWidth="1"/>
    <col min="4355" max="4355" width="3" style="1473" customWidth="1"/>
    <col min="4356" max="4356" width="71.6640625" style="1473" customWidth="1"/>
    <col min="4357" max="4357" width="22.6640625" style="1473" customWidth="1"/>
    <col min="4358" max="4608" width="9.33203125" style="1473"/>
    <col min="4609" max="4609" width="3.1640625" style="1473" customWidth="1"/>
    <col min="4610" max="4610" width="2.83203125" style="1473" customWidth="1"/>
    <col min="4611" max="4611" width="3" style="1473" customWidth="1"/>
    <col min="4612" max="4612" width="71.6640625" style="1473" customWidth="1"/>
    <col min="4613" max="4613" width="22.6640625" style="1473" customWidth="1"/>
    <col min="4614" max="4864" width="9.33203125" style="1473"/>
    <col min="4865" max="4865" width="3.1640625" style="1473" customWidth="1"/>
    <col min="4866" max="4866" width="2.83203125" style="1473" customWidth="1"/>
    <col min="4867" max="4867" width="3" style="1473" customWidth="1"/>
    <col min="4868" max="4868" width="71.6640625" style="1473" customWidth="1"/>
    <col min="4869" max="4869" width="22.6640625" style="1473" customWidth="1"/>
    <col min="4870" max="5120" width="9.33203125" style="1473"/>
    <col min="5121" max="5121" width="3.1640625" style="1473" customWidth="1"/>
    <col min="5122" max="5122" width="2.83203125" style="1473" customWidth="1"/>
    <col min="5123" max="5123" width="3" style="1473" customWidth="1"/>
    <col min="5124" max="5124" width="71.6640625" style="1473" customWidth="1"/>
    <col min="5125" max="5125" width="22.6640625" style="1473" customWidth="1"/>
    <col min="5126" max="5376" width="9.33203125" style="1473"/>
    <col min="5377" max="5377" width="3.1640625" style="1473" customWidth="1"/>
    <col min="5378" max="5378" width="2.83203125" style="1473" customWidth="1"/>
    <col min="5379" max="5379" width="3" style="1473" customWidth="1"/>
    <col min="5380" max="5380" width="71.6640625" style="1473" customWidth="1"/>
    <col min="5381" max="5381" width="22.6640625" style="1473" customWidth="1"/>
    <col min="5382" max="5632" width="9.33203125" style="1473"/>
    <col min="5633" max="5633" width="3.1640625" style="1473" customWidth="1"/>
    <col min="5634" max="5634" width="2.83203125" style="1473" customWidth="1"/>
    <col min="5635" max="5635" width="3" style="1473" customWidth="1"/>
    <col min="5636" max="5636" width="71.6640625" style="1473" customWidth="1"/>
    <col min="5637" max="5637" width="22.6640625" style="1473" customWidth="1"/>
    <col min="5638" max="5888" width="9.33203125" style="1473"/>
    <col min="5889" max="5889" width="3.1640625" style="1473" customWidth="1"/>
    <col min="5890" max="5890" width="2.83203125" style="1473" customWidth="1"/>
    <col min="5891" max="5891" width="3" style="1473" customWidth="1"/>
    <col min="5892" max="5892" width="71.6640625" style="1473" customWidth="1"/>
    <col min="5893" max="5893" width="22.6640625" style="1473" customWidth="1"/>
    <col min="5894" max="6144" width="9.33203125" style="1473"/>
    <col min="6145" max="6145" width="3.1640625" style="1473" customWidth="1"/>
    <col min="6146" max="6146" width="2.83203125" style="1473" customWidth="1"/>
    <col min="6147" max="6147" width="3" style="1473" customWidth="1"/>
    <col min="6148" max="6148" width="71.6640625" style="1473" customWidth="1"/>
    <col min="6149" max="6149" width="22.6640625" style="1473" customWidth="1"/>
    <col min="6150" max="6400" width="9.33203125" style="1473"/>
    <col min="6401" max="6401" width="3.1640625" style="1473" customWidth="1"/>
    <col min="6402" max="6402" width="2.83203125" style="1473" customWidth="1"/>
    <col min="6403" max="6403" width="3" style="1473" customWidth="1"/>
    <col min="6404" max="6404" width="71.6640625" style="1473" customWidth="1"/>
    <col min="6405" max="6405" width="22.6640625" style="1473" customWidth="1"/>
    <col min="6406" max="6656" width="9.33203125" style="1473"/>
    <col min="6657" max="6657" width="3.1640625" style="1473" customWidth="1"/>
    <col min="6658" max="6658" width="2.83203125" style="1473" customWidth="1"/>
    <col min="6659" max="6659" width="3" style="1473" customWidth="1"/>
    <col min="6660" max="6660" width="71.6640625" style="1473" customWidth="1"/>
    <col min="6661" max="6661" width="22.6640625" style="1473" customWidth="1"/>
    <col min="6662" max="6912" width="9.33203125" style="1473"/>
    <col min="6913" max="6913" width="3.1640625" style="1473" customWidth="1"/>
    <col min="6914" max="6914" width="2.83203125" style="1473" customWidth="1"/>
    <col min="6915" max="6915" width="3" style="1473" customWidth="1"/>
    <col min="6916" max="6916" width="71.6640625" style="1473" customWidth="1"/>
    <col min="6917" max="6917" width="22.6640625" style="1473" customWidth="1"/>
    <col min="6918" max="7168" width="9.33203125" style="1473"/>
    <col min="7169" max="7169" width="3.1640625" style="1473" customWidth="1"/>
    <col min="7170" max="7170" width="2.83203125" style="1473" customWidth="1"/>
    <col min="7171" max="7171" width="3" style="1473" customWidth="1"/>
    <col min="7172" max="7172" width="71.6640625" style="1473" customWidth="1"/>
    <col min="7173" max="7173" width="22.6640625" style="1473" customWidth="1"/>
    <col min="7174" max="7424" width="9.33203125" style="1473"/>
    <col min="7425" max="7425" width="3.1640625" style="1473" customWidth="1"/>
    <col min="7426" max="7426" width="2.83203125" style="1473" customWidth="1"/>
    <col min="7427" max="7427" width="3" style="1473" customWidth="1"/>
    <col min="7428" max="7428" width="71.6640625" style="1473" customWidth="1"/>
    <col min="7429" max="7429" width="22.6640625" style="1473" customWidth="1"/>
    <col min="7430" max="7680" width="9.33203125" style="1473"/>
    <col min="7681" max="7681" width="3.1640625" style="1473" customWidth="1"/>
    <col min="7682" max="7682" width="2.83203125" style="1473" customWidth="1"/>
    <col min="7683" max="7683" width="3" style="1473" customWidth="1"/>
    <col min="7684" max="7684" width="71.6640625" style="1473" customWidth="1"/>
    <col min="7685" max="7685" width="22.6640625" style="1473" customWidth="1"/>
    <col min="7686" max="7936" width="9.33203125" style="1473"/>
    <col min="7937" max="7937" width="3.1640625" style="1473" customWidth="1"/>
    <col min="7938" max="7938" width="2.83203125" style="1473" customWidth="1"/>
    <col min="7939" max="7939" width="3" style="1473" customWidth="1"/>
    <col min="7940" max="7940" width="71.6640625" style="1473" customWidth="1"/>
    <col min="7941" max="7941" width="22.6640625" style="1473" customWidth="1"/>
    <col min="7942" max="8192" width="9.33203125" style="1473"/>
    <col min="8193" max="8193" width="3.1640625" style="1473" customWidth="1"/>
    <col min="8194" max="8194" width="2.83203125" style="1473" customWidth="1"/>
    <col min="8195" max="8195" width="3" style="1473" customWidth="1"/>
    <col min="8196" max="8196" width="71.6640625" style="1473" customWidth="1"/>
    <col min="8197" max="8197" width="22.6640625" style="1473" customWidth="1"/>
    <col min="8198" max="8448" width="9.33203125" style="1473"/>
    <col min="8449" max="8449" width="3.1640625" style="1473" customWidth="1"/>
    <col min="8450" max="8450" width="2.83203125" style="1473" customWidth="1"/>
    <col min="8451" max="8451" width="3" style="1473" customWidth="1"/>
    <col min="8452" max="8452" width="71.6640625" style="1473" customWidth="1"/>
    <col min="8453" max="8453" width="22.6640625" style="1473" customWidth="1"/>
    <col min="8454" max="8704" width="9.33203125" style="1473"/>
    <col min="8705" max="8705" width="3.1640625" style="1473" customWidth="1"/>
    <col min="8706" max="8706" width="2.83203125" style="1473" customWidth="1"/>
    <col min="8707" max="8707" width="3" style="1473" customWidth="1"/>
    <col min="8708" max="8708" width="71.6640625" style="1473" customWidth="1"/>
    <col min="8709" max="8709" width="22.6640625" style="1473" customWidth="1"/>
    <col min="8710" max="8960" width="9.33203125" style="1473"/>
    <col min="8961" max="8961" width="3.1640625" style="1473" customWidth="1"/>
    <col min="8962" max="8962" width="2.83203125" style="1473" customWidth="1"/>
    <col min="8963" max="8963" width="3" style="1473" customWidth="1"/>
    <col min="8964" max="8964" width="71.6640625" style="1473" customWidth="1"/>
    <col min="8965" max="8965" width="22.6640625" style="1473" customWidth="1"/>
    <col min="8966" max="9216" width="9.33203125" style="1473"/>
    <col min="9217" max="9217" width="3.1640625" style="1473" customWidth="1"/>
    <col min="9218" max="9218" width="2.83203125" style="1473" customWidth="1"/>
    <col min="9219" max="9219" width="3" style="1473" customWidth="1"/>
    <col min="9220" max="9220" width="71.6640625" style="1473" customWidth="1"/>
    <col min="9221" max="9221" width="22.6640625" style="1473" customWidth="1"/>
    <col min="9222" max="9472" width="9.33203125" style="1473"/>
    <col min="9473" max="9473" width="3.1640625" style="1473" customWidth="1"/>
    <col min="9474" max="9474" width="2.83203125" style="1473" customWidth="1"/>
    <col min="9475" max="9475" width="3" style="1473" customWidth="1"/>
    <col min="9476" max="9476" width="71.6640625" style="1473" customWidth="1"/>
    <col min="9477" max="9477" width="22.6640625" style="1473" customWidth="1"/>
    <col min="9478" max="9728" width="9.33203125" style="1473"/>
    <col min="9729" max="9729" width="3.1640625" style="1473" customWidth="1"/>
    <col min="9730" max="9730" width="2.83203125" style="1473" customWidth="1"/>
    <col min="9731" max="9731" width="3" style="1473" customWidth="1"/>
    <col min="9732" max="9732" width="71.6640625" style="1473" customWidth="1"/>
    <col min="9733" max="9733" width="22.6640625" style="1473" customWidth="1"/>
    <col min="9734" max="9984" width="9.33203125" style="1473"/>
    <col min="9985" max="9985" width="3.1640625" style="1473" customWidth="1"/>
    <col min="9986" max="9986" width="2.83203125" style="1473" customWidth="1"/>
    <col min="9987" max="9987" width="3" style="1473" customWidth="1"/>
    <col min="9988" max="9988" width="71.6640625" style="1473" customWidth="1"/>
    <col min="9989" max="9989" width="22.6640625" style="1473" customWidth="1"/>
    <col min="9990" max="10240" width="9.33203125" style="1473"/>
    <col min="10241" max="10241" width="3.1640625" style="1473" customWidth="1"/>
    <col min="10242" max="10242" width="2.83203125" style="1473" customWidth="1"/>
    <col min="10243" max="10243" width="3" style="1473" customWidth="1"/>
    <col min="10244" max="10244" width="71.6640625" style="1473" customWidth="1"/>
    <col min="10245" max="10245" width="22.6640625" style="1473" customWidth="1"/>
    <col min="10246" max="10496" width="9.33203125" style="1473"/>
    <col min="10497" max="10497" width="3.1640625" style="1473" customWidth="1"/>
    <col min="10498" max="10498" width="2.83203125" style="1473" customWidth="1"/>
    <col min="10499" max="10499" width="3" style="1473" customWidth="1"/>
    <col min="10500" max="10500" width="71.6640625" style="1473" customWidth="1"/>
    <col min="10501" max="10501" width="22.6640625" style="1473" customWidth="1"/>
    <col min="10502" max="10752" width="9.33203125" style="1473"/>
    <col min="10753" max="10753" width="3.1640625" style="1473" customWidth="1"/>
    <col min="10754" max="10754" width="2.83203125" style="1473" customWidth="1"/>
    <col min="10755" max="10755" width="3" style="1473" customWidth="1"/>
    <col min="10756" max="10756" width="71.6640625" style="1473" customWidth="1"/>
    <col min="10757" max="10757" width="22.6640625" style="1473" customWidth="1"/>
    <col min="10758" max="11008" width="9.33203125" style="1473"/>
    <col min="11009" max="11009" width="3.1640625" style="1473" customWidth="1"/>
    <col min="11010" max="11010" width="2.83203125" style="1473" customWidth="1"/>
    <col min="11011" max="11011" width="3" style="1473" customWidth="1"/>
    <col min="11012" max="11012" width="71.6640625" style="1473" customWidth="1"/>
    <col min="11013" max="11013" width="22.6640625" style="1473" customWidth="1"/>
    <col min="11014" max="11264" width="9.33203125" style="1473"/>
    <col min="11265" max="11265" width="3.1640625" style="1473" customWidth="1"/>
    <col min="11266" max="11266" width="2.83203125" style="1473" customWidth="1"/>
    <col min="11267" max="11267" width="3" style="1473" customWidth="1"/>
    <col min="11268" max="11268" width="71.6640625" style="1473" customWidth="1"/>
    <col min="11269" max="11269" width="22.6640625" style="1473" customWidth="1"/>
    <col min="11270" max="11520" width="9.33203125" style="1473"/>
    <col min="11521" max="11521" width="3.1640625" style="1473" customWidth="1"/>
    <col min="11522" max="11522" width="2.83203125" style="1473" customWidth="1"/>
    <col min="11523" max="11523" width="3" style="1473" customWidth="1"/>
    <col min="11524" max="11524" width="71.6640625" style="1473" customWidth="1"/>
    <col min="11525" max="11525" width="22.6640625" style="1473" customWidth="1"/>
    <col min="11526" max="11776" width="9.33203125" style="1473"/>
    <col min="11777" max="11777" width="3.1640625" style="1473" customWidth="1"/>
    <col min="11778" max="11778" width="2.83203125" style="1473" customWidth="1"/>
    <col min="11779" max="11779" width="3" style="1473" customWidth="1"/>
    <col min="11780" max="11780" width="71.6640625" style="1473" customWidth="1"/>
    <col min="11781" max="11781" width="22.6640625" style="1473" customWidth="1"/>
    <col min="11782" max="12032" width="9.33203125" style="1473"/>
    <col min="12033" max="12033" width="3.1640625" style="1473" customWidth="1"/>
    <col min="12034" max="12034" width="2.83203125" style="1473" customWidth="1"/>
    <col min="12035" max="12035" width="3" style="1473" customWidth="1"/>
    <col min="12036" max="12036" width="71.6640625" style="1473" customWidth="1"/>
    <col min="12037" max="12037" width="22.6640625" style="1473" customWidth="1"/>
    <col min="12038" max="12288" width="9.33203125" style="1473"/>
    <col min="12289" max="12289" width="3.1640625" style="1473" customWidth="1"/>
    <col min="12290" max="12290" width="2.83203125" style="1473" customWidth="1"/>
    <col min="12291" max="12291" width="3" style="1473" customWidth="1"/>
    <col min="12292" max="12292" width="71.6640625" style="1473" customWidth="1"/>
    <col min="12293" max="12293" width="22.6640625" style="1473" customWidth="1"/>
    <col min="12294" max="12544" width="9.33203125" style="1473"/>
    <col min="12545" max="12545" width="3.1640625" style="1473" customWidth="1"/>
    <col min="12546" max="12546" width="2.83203125" style="1473" customWidth="1"/>
    <col min="12547" max="12547" width="3" style="1473" customWidth="1"/>
    <col min="12548" max="12548" width="71.6640625" style="1473" customWidth="1"/>
    <col min="12549" max="12549" width="22.6640625" style="1473" customWidth="1"/>
    <col min="12550" max="12800" width="9.33203125" style="1473"/>
    <col min="12801" max="12801" width="3.1640625" style="1473" customWidth="1"/>
    <col min="12802" max="12802" width="2.83203125" style="1473" customWidth="1"/>
    <col min="12803" max="12803" width="3" style="1473" customWidth="1"/>
    <col min="12804" max="12804" width="71.6640625" style="1473" customWidth="1"/>
    <col min="12805" max="12805" width="22.6640625" style="1473" customWidth="1"/>
    <col min="12806" max="13056" width="9.33203125" style="1473"/>
    <col min="13057" max="13057" width="3.1640625" style="1473" customWidth="1"/>
    <col min="13058" max="13058" width="2.83203125" style="1473" customWidth="1"/>
    <col min="13059" max="13059" width="3" style="1473" customWidth="1"/>
    <col min="13060" max="13060" width="71.6640625" style="1473" customWidth="1"/>
    <col min="13061" max="13061" width="22.6640625" style="1473" customWidth="1"/>
    <col min="13062" max="13312" width="9.33203125" style="1473"/>
    <col min="13313" max="13313" width="3.1640625" style="1473" customWidth="1"/>
    <col min="13314" max="13314" width="2.83203125" style="1473" customWidth="1"/>
    <col min="13315" max="13315" width="3" style="1473" customWidth="1"/>
    <col min="13316" max="13316" width="71.6640625" style="1473" customWidth="1"/>
    <col min="13317" max="13317" width="22.6640625" style="1473" customWidth="1"/>
    <col min="13318" max="13568" width="9.33203125" style="1473"/>
    <col min="13569" max="13569" width="3.1640625" style="1473" customWidth="1"/>
    <col min="13570" max="13570" width="2.83203125" style="1473" customWidth="1"/>
    <col min="13571" max="13571" width="3" style="1473" customWidth="1"/>
    <col min="13572" max="13572" width="71.6640625" style="1473" customWidth="1"/>
    <col min="13573" max="13573" width="22.6640625" style="1473" customWidth="1"/>
    <col min="13574" max="13824" width="9.33203125" style="1473"/>
    <col min="13825" max="13825" width="3.1640625" style="1473" customWidth="1"/>
    <col min="13826" max="13826" width="2.83203125" style="1473" customWidth="1"/>
    <col min="13827" max="13827" width="3" style="1473" customWidth="1"/>
    <col min="13828" max="13828" width="71.6640625" style="1473" customWidth="1"/>
    <col min="13829" max="13829" width="22.6640625" style="1473" customWidth="1"/>
    <col min="13830" max="14080" width="9.33203125" style="1473"/>
    <col min="14081" max="14081" width="3.1640625" style="1473" customWidth="1"/>
    <col min="14082" max="14082" width="2.83203125" style="1473" customWidth="1"/>
    <col min="14083" max="14083" width="3" style="1473" customWidth="1"/>
    <col min="14084" max="14084" width="71.6640625" style="1473" customWidth="1"/>
    <col min="14085" max="14085" width="22.6640625" style="1473" customWidth="1"/>
    <col min="14086" max="14336" width="9.33203125" style="1473"/>
    <col min="14337" max="14337" width="3.1640625" style="1473" customWidth="1"/>
    <col min="14338" max="14338" width="2.83203125" style="1473" customWidth="1"/>
    <col min="14339" max="14339" width="3" style="1473" customWidth="1"/>
    <col min="14340" max="14340" width="71.6640625" style="1473" customWidth="1"/>
    <col min="14341" max="14341" width="22.6640625" style="1473" customWidth="1"/>
    <col min="14342" max="14592" width="9.33203125" style="1473"/>
    <col min="14593" max="14593" width="3.1640625" style="1473" customWidth="1"/>
    <col min="14594" max="14594" width="2.83203125" style="1473" customWidth="1"/>
    <col min="14595" max="14595" width="3" style="1473" customWidth="1"/>
    <col min="14596" max="14596" width="71.6640625" style="1473" customWidth="1"/>
    <col min="14597" max="14597" width="22.6640625" style="1473" customWidth="1"/>
    <col min="14598" max="14848" width="9.33203125" style="1473"/>
    <col min="14849" max="14849" width="3.1640625" style="1473" customWidth="1"/>
    <col min="14850" max="14850" width="2.83203125" style="1473" customWidth="1"/>
    <col min="14851" max="14851" width="3" style="1473" customWidth="1"/>
    <col min="14852" max="14852" width="71.6640625" style="1473" customWidth="1"/>
    <col min="14853" max="14853" width="22.6640625" style="1473" customWidth="1"/>
    <col min="14854" max="15104" width="9.33203125" style="1473"/>
    <col min="15105" max="15105" width="3.1640625" style="1473" customWidth="1"/>
    <col min="15106" max="15106" width="2.83203125" style="1473" customWidth="1"/>
    <col min="15107" max="15107" width="3" style="1473" customWidth="1"/>
    <col min="15108" max="15108" width="71.6640625" style="1473" customWidth="1"/>
    <col min="15109" max="15109" width="22.6640625" style="1473" customWidth="1"/>
    <col min="15110" max="15360" width="9.33203125" style="1473"/>
    <col min="15361" max="15361" width="3.1640625" style="1473" customWidth="1"/>
    <col min="15362" max="15362" width="2.83203125" style="1473" customWidth="1"/>
    <col min="15363" max="15363" width="3" style="1473" customWidth="1"/>
    <col min="15364" max="15364" width="71.6640625" style="1473" customWidth="1"/>
    <col min="15365" max="15365" width="22.6640625" style="1473" customWidth="1"/>
    <col min="15366" max="15616" width="9.33203125" style="1473"/>
    <col min="15617" max="15617" width="3.1640625" style="1473" customWidth="1"/>
    <col min="15618" max="15618" width="2.83203125" style="1473" customWidth="1"/>
    <col min="15619" max="15619" width="3" style="1473" customWidth="1"/>
    <col min="15620" max="15620" width="71.6640625" style="1473" customWidth="1"/>
    <col min="15621" max="15621" width="22.6640625" style="1473" customWidth="1"/>
    <col min="15622" max="15872" width="9.33203125" style="1473"/>
    <col min="15873" max="15873" width="3.1640625" style="1473" customWidth="1"/>
    <col min="15874" max="15874" width="2.83203125" style="1473" customWidth="1"/>
    <col min="15875" max="15875" width="3" style="1473" customWidth="1"/>
    <col min="15876" max="15876" width="71.6640625" style="1473" customWidth="1"/>
    <col min="15877" max="15877" width="22.6640625" style="1473" customWidth="1"/>
    <col min="15878" max="16128" width="9.33203125" style="1473"/>
    <col min="16129" max="16129" width="3.1640625" style="1473" customWidth="1"/>
    <col min="16130" max="16130" width="2.83203125" style="1473" customWidth="1"/>
    <col min="16131" max="16131" width="3" style="1473" customWidth="1"/>
    <col min="16132" max="16132" width="71.6640625" style="1473" customWidth="1"/>
    <col min="16133" max="16133" width="22.6640625" style="1473" customWidth="1"/>
    <col min="16134" max="16384" width="9.33203125" style="1473"/>
  </cols>
  <sheetData>
    <row r="1" spans="1:5" ht="22.5" customHeight="1">
      <c r="A1" s="1490" t="s">
        <v>2254</v>
      </c>
      <c r="B1" s="1490"/>
      <c r="C1" s="1490"/>
      <c r="D1" s="1490"/>
      <c r="E1" s="1491">
        <f>SUM('15.1. sz. mell.'!E1)</f>
        <v>1028758206</v>
      </c>
    </row>
    <row r="2" spans="1:5" ht="22.5" customHeight="1">
      <c r="A2" s="1490"/>
      <c r="B2" s="1490"/>
      <c r="C2" s="1490"/>
      <c r="D2" s="1490" t="s">
        <v>2245</v>
      </c>
      <c r="E2" s="1491">
        <f>SUM('15.1. sz. mell.'!E48+'15.1. sz. mell.'!E40)</f>
        <v>279535334</v>
      </c>
    </row>
    <row r="3" spans="1:5" ht="22.5" customHeight="1">
      <c r="A3" s="1490"/>
      <c r="B3" s="1490"/>
      <c r="C3" s="1490"/>
      <c r="D3" s="1534"/>
      <c r="E3" s="1535">
        <f>SUM(E1-E2)</f>
        <v>749222872</v>
      </c>
    </row>
    <row r="4" spans="1:5" ht="22.5" customHeight="1">
      <c r="A4" s="1490"/>
      <c r="B4" s="1490"/>
      <c r="C4" s="1490"/>
      <c r="D4" s="1490"/>
      <c r="E4" s="1491"/>
    </row>
    <row r="6" spans="1:5" ht="28.5" customHeight="1" thickTop="1" thickBot="1">
      <c r="A6" s="2002" t="s">
        <v>318</v>
      </c>
      <c r="B6" s="2002"/>
      <c r="C6" s="2002"/>
      <c r="D6" s="1536" t="s">
        <v>198</v>
      </c>
      <c r="E6" s="1537" t="s">
        <v>2235</v>
      </c>
    </row>
    <row r="7" spans="1:5" ht="34.5" customHeight="1" thickTop="1" thickBot="1">
      <c r="A7" s="1538" t="s">
        <v>927</v>
      </c>
      <c r="B7" s="1536"/>
      <c r="C7" s="1536"/>
      <c r="D7" s="2005" t="s">
        <v>2236</v>
      </c>
      <c r="E7" s="2005"/>
    </row>
    <row r="8" spans="1:5" ht="21" customHeight="1" thickTop="1">
      <c r="A8" s="1539"/>
      <c r="B8" s="1497" t="s">
        <v>4</v>
      </c>
      <c r="C8" s="1497"/>
      <c r="D8" s="1582" t="s">
        <v>2266</v>
      </c>
      <c r="E8" s="1583">
        <v>250000000</v>
      </c>
    </row>
    <row r="9" spans="1:5" ht="21" customHeight="1">
      <c r="A9" s="1539"/>
      <c r="B9" s="1588"/>
      <c r="C9" s="1588"/>
      <c r="D9" s="1587" t="s">
        <v>2295</v>
      </c>
      <c r="E9" s="1586">
        <v>65110082</v>
      </c>
    </row>
    <row r="10" spans="1:5" ht="21" customHeight="1">
      <c r="A10" s="1539"/>
      <c r="B10" s="1497" t="s">
        <v>5</v>
      </c>
      <c r="C10" s="1497"/>
      <c r="D10" s="1582" t="s">
        <v>2273</v>
      </c>
      <c r="E10" s="1583">
        <v>68076900</v>
      </c>
    </row>
    <row r="11" spans="1:5" ht="24" customHeight="1">
      <c r="A11" s="1496"/>
      <c r="B11" s="1497" t="s">
        <v>19</v>
      </c>
      <c r="C11" s="1497"/>
      <c r="D11" s="1584" t="s">
        <v>2274</v>
      </c>
      <c r="E11" s="1583">
        <v>1714000</v>
      </c>
    </row>
    <row r="12" spans="1:5" ht="21" customHeight="1">
      <c r="A12" s="1496"/>
      <c r="B12" s="1497" t="s">
        <v>149</v>
      </c>
      <c r="C12" s="1497"/>
      <c r="D12" s="1584" t="s">
        <v>2275</v>
      </c>
      <c r="E12" s="1583">
        <v>3000000</v>
      </c>
    </row>
    <row r="13" spans="1:5" ht="21" customHeight="1">
      <c r="A13" s="1496"/>
      <c r="B13" s="1497" t="s">
        <v>38</v>
      </c>
      <c r="C13" s="1497"/>
      <c r="D13" s="1585" t="s">
        <v>1933</v>
      </c>
      <c r="E13" s="1586">
        <v>52236000</v>
      </c>
    </row>
    <row r="14" spans="1:5" ht="21" customHeight="1">
      <c r="A14" s="1496"/>
      <c r="B14" s="1497" t="s">
        <v>48</v>
      </c>
      <c r="C14" s="1497"/>
      <c r="D14" s="1582" t="s">
        <v>2276</v>
      </c>
      <c r="E14" s="1583">
        <v>1292000</v>
      </c>
    </row>
    <row r="15" spans="1:5" ht="21" customHeight="1">
      <c r="A15" s="1496"/>
      <c r="B15" s="1588"/>
      <c r="C15" s="1588"/>
      <c r="D15" s="1582" t="s">
        <v>2282</v>
      </c>
      <c r="E15" s="1583">
        <v>1501937</v>
      </c>
    </row>
    <row r="16" spans="1:5" ht="21" customHeight="1">
      <c r="A16" s="1496"/>
      <c r="B16" s="1497" t="s">
        <v>178</v>
      </c>
      <c r="C16" s="1497"/>
      <c r="D16" s="1587" t="s">
        <v>2286</v>
      </c>
      <c r="E16" s="1586">
        <v>12500000</v>
      </c>
    </row>
    <row r="17" spans="1:5" ht="33.75" customHeight="1">
      <c r="A17" s="1496"/>
      <c r="B17" s="1497" t="s">
        <v>74</v>
      </c>
      <c r="C17" s="1540"/>
      <c r="D17" s="1582" t="s">
        <v>2287</v>
      </c>
      <c r="E17" s="1583">
        <v>3500000</v>
      </c>
    </row>
    <row r="18" spans="1:5" ht="21" customHeight="1">
      <c r="A18" s="1500"/>
      <c r="B18" s="1497" t="s">
        <v>205</v>
      </c>
      <c r="C18" s="1501"/>
      <c r="D18" s="1582" t="s">
        <v>2290</v>
      </c>
      <c r="E18" s="1583">
        <v>6494000</v>
      </c>
    </row>
    <row r="19" spans="1:5" ht="21" customHeight="1">
      <c r="A19" s="1500"/>
      <c r="B19" s="1497"/>
      <c r="C19" s="1501"/>
      <c r="D19" s="1582" t="s">
        <v>2291</v>
      </c>
      <c r="E19" s="1583">
        <v>42000</v>
      </c>
    </row>
    <row r="20" spans="1:5" ht="21" customHeight="1" thickBot="1">
      <c r="A20" s="1500"/>
      <c r="B20" s="1497" t="s">
        <v>79</v>
      </c>
      <c r="C20" s="1501"/>
      <c r="D20" s="1582" t="s">
        <v>2292</v>
      </c>
      <c r="E20" s="1583">
        <v>14715150</v>
      </c>
    </row>
    <row r="21" spans="1:5" ht="21" hidden="1" customHeight="1">
      <c r="A21" s="1500"/>
      <c r="B21" s="1497" t="s">
        <v>80</v>
      </c>
      <c r="C21" s="1501"/>
      <c r="D21" s="1502"/>
      <c r="E21" s="1503"/>
    </row>
    <row r="22" spans="1:5" ht="21" hidden="1" customHeight="1">
      <c r="A22" s="1500"/>
      <c r="B22" s="1497" t="s">
        <v>85</v>
      </c>
      <c r="C22" s="1501"/>
      <c r="D22" s="1502"/>
      <c r="E22" s="1503"/>
    </row>
    <row r="23" spans="1:5" ht="21" hidden="1" customHeight="1">
      <c r="A23" s="1500"/>
      <c r="B23" s="1497" t="s">
        <v>98</v>
      </c>
      <c r="C23" s="1501"/>
      <c r="D23" s="1502"/>
      <c r="E23" s="1505"/>
    </row>
    <row r="24" spans="1:5" ht="36.75" hidden="1" customHeight="1">
      <c r="A24" s="1500"/>
      <c r="B24" s="1497" t="s">
        <v>99</v>
      </c>
      <c r="C24" s="1501"/>
      <c r="D24" s="1504"/>
      <c r="E24" s="1505"/>
    </row>
    <row r="25" spans="1:5" ht="21" hidden="1" customHeight="1">
      <c r="A25" s="1500"/>
      <c r="B25" s="1497" t="s">
        <v>210</v>
      </c>
      <c r="C25" s="1501"/>
      <c r="D25" s="1504"/>
      <c r="E25" s="1505"/>
    </row>
    <row r="26" spans="1:5" ht="21" hidden="1" customHeight="1">
      <c r="A26" s="1500"/>
      <c r="B26" s="1497" t="s">
        <v>212</v>
      </c>
      <c r="C26" s="1501"/>
      <c r="D26" s="1504"/>
      <c r="E26" s="1505"/>
    </row>
    <row r="27" spans="1:5" ht="21" hidden="1" customHeight="1">
      <c r="A27" s="1500"/>
      <c r="B27" s="1497" t="s">
        <v>214</v>
      </c>
      <c r="C27" s="1501"/>
      <c r="D27" s="1504"/>
      <c r="E27" s="1505"/>
    </row>
    <row r="28" spans="1:5" ht="21" hidden="1" customHeight="1">
      <c r="A28" s="1496"/>
      <c r="B28" s="1497" t="s">
        <v>215</v>
      </c>
      <c r="C28" s="1497"/>
      <c r="D28" s="1504"/>
      <c r="E28" s="1505"/>
    </row>
    <row r="29" spans="1:5" ht="31.5" hidden="1" customHeight="1">
      <c r="A29" s="1496"/>
      <c r="B29" s="1497" t="s">
        <v>217</v>
      </c>
      <c r="C29" s="1497"/>
      <c r="D29" s="1504"/>
      <c r="E29" s="1505"/>
    </row>
    <row r="30" spans="1:5" ht="27.75" hidden="1" customHeight="1">
      <c r="A30" s="1496"/>
      <c r="B30" s="1497" t="s">
        <v>219</v>
      </c>
      <c r="C30" s="1497"/>
      <c r="D30" s="1504"/>
      <c r="E30" s="1505"/>
    </row>
    <row r="31" spans="1:5" ht="21" hidden="1" customHeight="1">
      <c r="A31" s="1496"/>
      <c r="B31" s="1497" t="s">
        <v>221</v>
      </c>
      <c r="C31" s="1497"/>
      <c r="D31" s="1504"/>
      <c r="E31" s="1505"/>
    </row>
    <row r="32" spans="1:5" ht="21" hidden="1" customHeight="1">
      <c r="A32" s="1500"/>
      <c r="B32" s="1497" t="s">
        <v>222</v>
      </c>
      <c r="C32" s="1501"/>
      <c r="D32" s="1504"/>
      <c r="E32" s="1505"/>
    </row>
    <row r="33" spans="1:5" ht="21" hidden="1" customHeight="1">
      <c r="A33" s="1500"/>
      <c r="B33" s="1497" t="s">
        <v>224</v>
      </c>
      <c r="C33" s="1501"/>
      <c r="D33" s="1504"/>
      <c r="E33" s="1505"/>
    </row>
    <row r="34" spans="1:5" ht="21" hidden="1" customHeight="1">
      <c r="A34" s="1496"/>
      <c r="B34" s="1497" t="s">
        <v>225</v>
      </c>
      <c r="C34" s="1497"/>
      <c r="D34" s="1504"/>
      <c r="E34" s="1505"/>
    </row>
    <row r="35" spans="1:5" ht="21" hidden="1" customHeight="1">
      <c r="A35" s="1496"/>
      <c r="B35" s="1497" t="s">
        <v>227</v>
      </c>
      <c r="C35" s="1497"/>
      <c r="D35" s="1504"/>
      <c r="E35" s="1505"/>
    </row>
    <row r="36" spans="1:5" ht="21" hidden="1" customHeight="1">
      <c r="A36" s="1496"/>
      <c r="B36" s="1497" t="s">
        <v>229</v>
      </c>
      <c r="C36" s="1497"/>
      <c r="D36" s="1504"/>
      <c r="E36" s="1505"/>
    </row>
    <row r="37" spans="1:5" ht="21" hidden="1" customHeight="1">
      <c r="A37" s="1506"/>
      <c r="B37" s="1497" t="s">
        <v>2148</v>
      </c>
      <c r="C37" s="1507"/>
      <c r="D37" s="1504"/>
      <c r="E37" s="1505"/>
    </row>
    <row r="38" spans="1:5" ht="21" hidden="1" customHeight="1">
      <c r="A38" s="1500"/>
      <c r="B38" s="1497" t="s">
        <v>2179</v>
      </c>
      <c r="C38" s="1501"/>
      <c r="D38" s="1504"/>
      <c r="E38" s="1505"/>
    </row>
    <row r="39" spans="1:5" ht="21" hidden="1" customHeight="1">
      <c r="A39" s="1509"/>
      <c r="B39" s="1497" t="s">
        <v>2199</v>
      </c>
      <c r="C39" s="1507"/>
      <c r="D39" s="1504"/>
      <c r="E39" s="1505"/>
    </row>
    <row r="40" spans="1:5" ht="21" hidden="1" customHeight="1">
      <c r="A40" s="1509"/>
      <c r="B40" s="1497"/>
      <c r="C40" s="1507"/>
      <c r="D40" s="1504"/>
      <c r="E40" s="1505"/>
    </row>
    <row r="41" spans="1:5" ht="21" hidden="1" customHeight="1">
      <c r="A41" s="1496"/>
      <c r="B41" s="1497" t="s">
        <v>2200</v>
      </c>
      <c r="C41" s="1497"/>
      <c r="D41" s="1504"/>
      <c r="E41" s="1505"/>
    </row>
    <row r="42" spans="1:5" ht="30.75" hidden="1" customHeight="1" thickBot="1">
      <c r="A42" s="1496"/>
      <c r="B42" s="1497" t="s">
        <v>2201</v>
      </c>
      <c r="C42" s="1497"/>
      <c r="D42" s="1504"/>
      <c r="E42" s="1505"/>
    </row>
    <row r="43" spans="1:5" ht="41.25" customHeight="1" thickTop="1" thickBot="1">
      <c r="A43" s="1541"/>
      <c r="B43" s="1517"/>
      <c r="C43" s="1518"/>
      <c r="D43" s="1519" t="s">
        <v>2246</v>
      </c>
      <c r="E43" s="1542">
        <f>SUM(E8:E42)</f>
        <v>480182069</v>
      </c>
    </row>
    <row r="44" spans="1:5" ht="36.75" customHeight="1" thickTop="1" thickBot="1"/>
    <row r="45" spans="1:5" ht="34.5" customHeight="1" thickTop="1" thickBot="1">
      <c r="A45" s="2002" t="s">
        <v>2242</v>
      </c>
      <c r="B45" s="2002"/>
      <c r="C45" s="1524"/>
      <c r="D45" s="2004" t="s">
        <v>2243</v>
      </c>
      <c r="E45" s="2004"/>
    </row>
    <row r="46" spans="1:5" ht="21" customHeight="1" thickTop="1">
      <c r="A46" s="1525"/>
      <c r="B46" s="1526" t="s">
        <v>4</v>
      </c>
      <c r="C46" s="1527"/>
      <c r="D46" s="1528" t="s">
        <v>2247</v>
      </c>
      <c r="E46" s="1476">
        <f>SUM(E47)</f>
        <v>0</v>
      </c>
    </row>
    <row r="47" spans="1:5" ht="21" customHeight="1" thickBot="1">
      <c r="A47" s="1525"/>
      <c r="B47" s="1529" t="s">
        <v>102</v>
      </c>
      <c r="C47" s="1530"/>
      <c r="D47" s="1531" t="s">
        <v>2244</v>
      </c>
      <c r="E47" s="1474">
        <v>0</v>
      </c>
    </row>
    <row r="48" spans="1:5" ht="40.5" customHeight="1" thickTop="1" thickBot="1">
      <c r="A48" s="1541"/>
      <c r="B48" s="1517"/>
      <c r="C48" s="1518"/>
      <c r="D48" s="1519" t="s">
        <v>2246</v>
      </c>
      <c r="E48" s="1542">
        <f>SUM(E46)</f>
        <v>0</v>
      </c>
    </row>
  </sheetData>
  <sheetProtection selectLockedCells="1" selectUnlockedCells="1"/>
  <mergeCells count="4">
    <mergeCell ref="A6:C6"/>
    <mergeCell ref="D7:E7"/>
    <mergeCell ref="A45:B45"/>
    <mergeCell ref="D45:E45"/>
  </mergeCells>
  <pageMargins left="0.39370078740157483" right="0.39370078740157483" top="0.86614173228346458" bottom="0.51181102362204722" header="0.27559055118110237" footer="0.15748031496062992"/>
  <pageSetup paperSize="9" firstPageNumber="130" orientation="portrait" horizontalDpi="300" verticalDpi="300" r:id="rId1"/>
  <headerFooter alignWithMargins="0">
    <oddHeader>&amp;C&amp;"Arial,Félkövér"&amp;14Vecsés Város Önkormányzat 
2013. évi feladattal terhelt felhalmozási pénzmaradványa&amp;R&amp;12 15.2. sz. melléklet</oddHeader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7"/>
  <sheetViews>
    <sheetView view="pageBreakPreview" topLeftCell="A55" zoomScaleSheetLayoutView="100" workbookViewId="0">
      <selection activeCell="D41" sqref="D41"/>
    </sheetView>
  </sheetViews>
  <sheetFormatPr defaultRowHeight="12.75"/>
  <cols>
    <col min="1" max="1" width="3.1640625" style="1473" customWidth="1"/>
    <col min="2" max="2" width="4.5" style="1473" customWidth="1"/>
    <col min="3" max="3" width="3.33203125" style="1473" customWidth="1"/>
    <col min="4" max="4" width="71.33203125" style="1473" customWidth="1"/>
    <col min="5" max="5" width="23.5" style="1253" customWidth="1"/>
    <col min="6" max="6" width="16.83203125" style="1473" customWidth="1"/>
    <col min="7" max="7" width="22.1640625" style="1473" customWidth="1"/>
    <col min="8" max="256" width="9.33203125" style="1473"/>
    <col min="257" max="257" width="3.1640625" style="1473" customWidth="1"/>
    <col min="258" max="258" width="5.83203125" style="1473" customWidth="1"/>
    <col min="259" max="259" width="4.33203125" style="1473" customWidth="1"/>
    <col min="260" max="260" width="73.6640625" style="1473" customWidth="1"/>
    <col min="261" max="261" width="19.1640625" style="1473" customWidth="1"/>
    <col min="262" max="262" width="16.83203125" style="1473" customWidth="1"/>
    <col min="263" max="263" width="22.1640625" style="1473" customWidth="1"/>
    <col min="264" max="512" width="9.33203125" style="1473"/>
    <col min="513" max="513" width="3.1640625" style="1473" customWidth="1"/>
    <col min="514" max="514" width="5.83203125" style="1473" customWidth="1"/>
    <col min="515" max="515" width="4.33203125" style="1473" customWidth="1"/>
    <col min="516" max="516" width="73.6640625" style="1473" customWidth="1"/>
    <col min="517" max="517" width="19.1640625" style="1473" customWidth="1"/>
    <col min="518" max="518" width="16.83203125" style="1473" customWidth="1"/>
    <col min="519" max="519" width="22.1640625" style="1473" customWidth="1"/>
    <col min="520" max="768" width="9.33203125" style="1473"/>
    <col min="769" max="769" width="3.1640625" style="1473" customWidth="1"/>
    <col min="770" max="770" width="5.83203125" style="1473" customWidth="1"/>
    <col min="771" max="771" width="4.33203125" style="1473" customWidth="1"/>
    <col min="772" max="772" width="73.6640625" style="1473" customWidth="1"/>
    <col min="773" max="773" width="19.1640625" style="1473" customWidth="1"/>
    <col min="774" max="774" width="16.83203125" style="1473" customWidth="1"/>
    <col min="775" max="775" width="22.1640625" style="1473" customWidth="1"/>
    <col min="776" max="1024" width="9.33203125" style="1473"/>
    <col min="1025" max="1025" width="3.1640625" style="1473" customWidth="1"/>
    <col min="1026" max="1026" width="5.83203125" style="1473" customWidth="1"/>
    <col min="1027" max="1027" width="4.33203125" style="1473" customWidth="1"/>
    <col min="1028" max="1028" width="73.6640625" style="1473" customWidth="1"/>
    <col min="1029" max="1029" width="19.1640625" style="1473" customWidth="1"/>
    <col min="1030" max="1030" width="16.83203125" style="1473" customWidth="1"/>
    <col min="1031" max="1031" width="22.1640625" style="1473" customWidth="1"/>
    <col min="1032" max="1280" width="9.33203125" style="1473"/>
    <col min="1281" max="1281" width="3.1640625" style="1473" customWidth="1"/>
    <col min="1282" max="1282" width="5.83203125" style="1473" customWidth="1"/>
    <col min="1283" max="1283" width="4.33203125" style="1473" customWidth="1"/>
    <col min="1284" max="1284" width="73.6640625" style="1473" customWidth="1"/>
    <col min="1285" max="1285" width="19.1640625" style="1473" customWidth="1"/>
    <col min="1286" max="1286" width="16.83203125" style="1473" customWidth="1"/>
    <col min="1287" max="1287" width="22.1640625" style="1473" customWidth="1"/>
    <col min="1288" max="1536" width="9.33203125" style="1473"/>
    <col min="1537" max="1537" width="3.1640625" style="1473" customWidth="1"/>
    <col min="1538" max="1538" width="5.83203125" style="1473" customWidth="1"/>
    <col min="1539" max="1539" width="4.33203125" style="1473" customWidth="1"/>
    <col min="1540" max="1540" width="73.6640625" style="1473" customWidth="1"/>
    <col min="1541" max="1541" width="19.1640625" style="1473" customWidth="1"/>
    <col min="1542" max="1542" width="16.83203125" style="1473" customWidth="1"/>
    <col min="1543" max="1543" width="22.1640625" style="1473" customWidth="1"/>
    <col min="1544" max="1792" width="9.33203125" style="1473"/>
    <col min="1793" max="1793" width="3.1640625" style="1473" customWidth="1"/>
    <col min="1794" max="1794" width="5.83203125" style="1473" customWidth="1"/>
    <col min="1795" max="1795" width="4.33203125" style="1473" customWidth="1"/>
    <col min="1796" max="1796" width="73.6640625" style="1473" customWidth="1"/>
    <col min="1797" max="1797" width="19.1640625" style="1473" customWidth="1"/>
    <col min="1798" max="1798" width="16.83203125" style="1473" customWidth="1"/>
    <col min="1799" max="1799" width="22.1640625" style="1473" customWidth="1"/>
    <col min="1800" max="2048" width="9.33203125" style="1473"/>
    <col min="2049" max="2049" width="3.1640625" style="1473" customWidth="1"/>
    <col min="2050" max="2050" width="5.83203125" style="1473" customWidth="1"/>
    <col min="2051" max="2051" width="4.33203125" style="1473" customWidth="1"/>
    <col min="2052" max="2052" width="73.6640625" style="1473" customWidth="1"/>
    <col min="2053" max="2053" width="19.1640625" style="1473" customWidth="1"/>
    <col min="2054" max="2054" width="16.83203125" style="1473" customWidth="1"/>
    <col min="2055" max="2055" width="22.1640625" style="1473" customWidth="1"/>
    <col min="2056" max="2304" width="9.33203125" style="1473"/>
    <col min="2305" max="2305" width="3.1640625" style="1473" customWidth="1"/>
    <col min="2306" max="2306" width="5.83203125" style="1473" customWidth="1"/>
    <col min="2307" max="2307" width="4.33203125" style="1473" customWidth="1"/>
    <col min="2308" max="2308" width="73.6640625" style="1473" customWidth="1"/>
    <col min="2309" max="2309" width="19.1640625" style="1473" customWidth="1"/>
    <col min="2310" max="2310" width="16.83203125" style="1473" customWidth="1"/>
    <col min="2311" max="2311" width="22.1640625" style="1473" customWidth="1"/>
    <col min="2312" max="2560" width="9.33203125" style="1473"/>
    <col min="2561" max="2561" width="3.1640625" style="1473" customWidth="1"/>
    <col min="2562" max="2562" width="5.83203125" style="1473" customWidth="1"/>
    <col min="2563" max="2563" width="4.33203125" style="1473" customWidth="1"/>
    <col min="2564" max="2564" width="73.6640625" style="1473" customWidth="1"/>
    <col min="2565" max="2565" width="19.1640625" style="1473" customWidth="1"/>
    <col min="2566" max="2566" width="16.83203125" style="1473" customWidth="1"/>
    <col min="2567" max="2567" width="22.1640625" style="1473" customWidth="1"/>
    <col min="2568" max="2816" width="9.33203125" style="1473"/>
    <col min="2817" max="2817" width="3.1640625" style="1473" customWidth="1"/>
    <col min="2818" max="2818" width="5.83203125" style="1473" customWidth="1"/>
    <col min="2819" max="2819" width="4.33203125" style="1473" customWidth="1"/>
    <col min="2820" max="2820" width="73.6640625" style="1473" customWidth="1"/>
    <col min="2821" max="2821" width="19.1640625" style="1473" customWidth="1"/>
    <col min="2822" max="2822" width="16.83203125" style="1473" customWidth="1"/>
    <col min="2823" max="2823" width="22.1640625" style="1473" customWidth="1"/>
    <col min="2824" max="3072" width="9.33203125" style="1473"/>
    <col min="3073" max="3073" width="3.1640625" style="1473" customWidth="1"/>
    <col min="3074" max="3074" width="5.83203125" style="1473" customWidth="1"/>
    <col min="3075" max="3075" width="4.33203125" style="1473" customWidth="1"/>
    <col min="3076" max="3076" width="73.6640625" style="1473" customWidth="1"/>
    <col min="3077" max="3077" width="19.1640625" style="1473" customWidth="1"/>
    <col min="3078" max="3078" width="16.83203125" style="1473" customWidth="1"/>
    <col min="3079" max="3079" width="22.1640625" style="1473" customWidth="1"/>
    <col min="3080" max="3328" width="9.33203125" style="1473"/>
    <col min="3329" max="3329" width="3.1640625" style="1473" customWidth="1"/>
    <col min="3330" max="3330" width="5.83203125" style="1473" customWidth="1"/>
    <col min="3331" max="3331" width="4.33203125" style="1473" customWidth="1"/>
    <col min="3332" max="3332" width="73.6640625" style="1473" customWidth="1"/>
    <col min="3333" max="3333" width="19.1640625" style="1473" customWidth="1"/>
    <col min="3334" max="3334" width="16.83203125" style="1473" customWidth="1"/>
    <col min="3335" max="3335" width="22.1640625" style="1473" customWidth="1"/>
    <col min="3336" max="3584" width="9.33203125" style="1473"/>
    <col min="3585" max="3585" width="3.1640625" style="1473" customWidth="1"/>
    <col min="3586" max="3586" width="5.83203125" style="1473" customWidth="1"/>
    <col min="3587" max="3587" width="4.33203125" style="1473" customWidth="1"/>
    <col min="3588" max="3588" width="73.6640625" style="1473" customWidth="1"/>
    <col min="3589" max="3589" width="19.1640625" style="1473" customWidth="1"/>
    <col min="3590" max="3590" width="16.83203125" style="1473" customWidth="1"/>
    <col min="3591" max="3591" width="22.1640625" style="1473" customWidth="1"/>
    <col min="3592" max="3840" width="9.33203125" style="1473"/>
    <col min="3841" max="3841" width="3.1640625" style="1473" customWidth="1"/>
    <col min="3842" max="3842" width="5.83203125" style="1473" customWidth="1"/>
    <col min="3843" max="3843" width="4.33203125" style="1473" customWidth="1"/>
    <col min="3844" max="3844" width="73.6640625" style="1473" customWidth="1"/>
    <col min="3845" max="3845" width="19.1640625" style="1473" customWidth="1"/>
    <col min="3846" max="3846" width="16.83203125" style="1473" customWidth="1"/>
    <col min="3847" max="3847" width="22.1640625" style="1473" customWidth="1"/>
    <col min="3848" max="4096" width="9.33203125" style="1473"/>
    <col min="4097" max="4097" width="3.1640625" style="1473" customWidth="1"/>
    <col min="4098" max="4098" width="5.83203125" style="1473" customWidth="1"/>
    <col min="4099" max="4099" width="4.33203125" style="1473" customWidth="1"/>
    <col min="4100" max="4100" width="73.6640625" style="1473" customWidth="1"/>
    <col min="4101" max="4101" width="19.1640625" style="1473" customWidth="1"/>
    <col min="4102" max="4102" width="16.83203125" style="1473" customWidth="1"/>
    <col min="4103" max="4103" width="22.1640625" style="1473" customWidth="1"/>
    <col min="4104" max="4352" width="9.33203125" style="1473"/>
    <col min="4353" max="4353" width="3.1640625" style="1473" customWidth="1"/>
    <col min="4354" max="4354" width="5.83203125" style="1473" customWidth="1"/>
    <col min="4355" max="4355" width="4.33203125" style="1473" customWidth="1"/>
    <col min="4356" max="4356" width="73.6640625" style="1473" customWidth="1"/>
    <col min="4357" max="4357" width="19.1640625" style="1473" customWidth="1"/>
    <col min="4358" max="4358" width="16.83203125" style="1473" customWidth="1"/>
    <col min="4359" max="4359" width="22.1640625" style="1473" customWidth="1"/>
    <col min="4360" max="4608" width="9.33203125" style="1473"/>
    <col min="4609" max="4609" width="3.1640625" style="1473" customWidth="1"/>
    <col min="4610" max="4610" width="5.83203125" style="1473" customWidth="1"/>
    <col min="4611" max="4611" width="4.33203125" style="1473" customWidth="1"/>
    <col min="4612" max="4612" width="73.6640625" style="1473" customWidth="1"/>
    <col min="4613" max="4613" width="19.1640625" style="1473" customWidth="1"/>
    <col min="4614" max="4614" width="16.83203125" style="1473" customWidth="1"/>
    <col min="4615" max="4615" width="22.1640625" style="1473" customWidth="1"/>
    <col min="4616" max="4864" width="9.33203125" style="1473"/>
    <col min="4865" max="4865" width="3.1640625" style="1473" customWidth="1"/>
    <col min="4866" max="4866" width="5.83203125" style="1473" customWidth="1"/>
    <col min="4867" max="4867" width="4.33203125" style="1473" customWidth="1"/>
    <col min="4868" max="4868" width="73.6640625" style="1473" customWidth="1"/>
    <col min="4869" max="4869" width="19.1640625" style="1473" customWidth="1"/>
    <col min="4870" max="4870" width="16.83203125" style="1473" customWidth="1"/>
    <col min="4871" max="4871" width="22.1640625" style="1473" customWidth="1"/>
    <col min="4872" max="5120" width="9.33203125" style="1473"/>
    <col min="5121" max="5121" width="3.1640625" style="1473" customWidth="1"/>
    <col min="5122" max="5122" width="5.83203125" style="1473" customWidth="1"/>
    <col min="5123" max="5123" width="4.33203125" style="1473" customWidth="1"/>
    <col min="5124" max="5124" width="73.6640625" style="1473" customWidth="1"/>
    <col min="5125" max="5125" width="19.1640625" style="1473" customWidth="1"/>
    <col min="5126" max="5126" width="16.83203125" style="1473" customWidth="1"/>
    <col min="5127" max="5127" width="22.1640625" style="1473" customWidth="1"/>
    <col min="5128" max="5376" width="9.33203125" style="1473"/>
    <col min="5377" max="5377" width="3.1640625" style="1473" customWidth="1"/>
    <col min="5378" max="5378" width="5.83203125" style="1473" customWidth="1"/>
    <col min="5379" max="5379" width="4.33203125" style="1473" customWidth="1"/>
    <col min="5380" max="5380" width="73.6640625" style="1473" customWidth="1"/>
    <col min="5381" max="5381" width="19.1640625" style="1473" customWidth="1"/>
    <col min="5382" max="5382" width="16.83203125" style="1473" customWidth="1"/>
    <col min="5383" max="5383" width="22.1640625" style="1473" customWidth="1"/>
    <col min="5384" max="5632" width="9.33203125" style="1473"/>
    <col min="5633" max="5633" width="3.1640625" style="1473" customWidth="1"/>
    <col min="5634" max="5634" width="5.83203125" style="1473" customWidth="1"/>
    <col min="5635" max="5635" width="4.33203125" style="1473" customWidth="1"/>
    <col min="5636" max="5636" width="73.6640625" style="1473" customWidth="1"/>
    <col min="5637" max="5637" width="19.1640625" style="1473" customWidth="1"/>
    <col min="5638" max="5638" width="16.83203125" style="1473" customWidth="1"/>
    <col min="5639" max="5639" width="22.1640625" style="1473" customWidth="1"/>
    <col min="5640" max="5888" width="9.33203125" style="1473"/>
    <col min="5889" max="5889" width="3.1640625" style="1473" customWidth="1"/>
    <col min="5890" max="5890" width="5.83203125" style="1473" customWidth="1"/>
    <col min="5891" max="5891" width="4.33203125" style="1473" customWidth="1"/>
    <col min="5892" max="5892" width="73.6640625" style="1473" customWidth="1"/>
    <col min="5893" max="5893" width="19.1640625" style="1473" customWidth="1"/>
    <col min="5894" max="5894" width="16.83203125" style="1473" customWidth="1"/>
    <col min="5895" max="5895" width="22.1640625" style="1473" customWidth="1"/>
    <col min="5896" max="6144" width="9.33203125" style="1473"/>
    <col min="6145" max="6145" width="3.1640625" style="1473" customWidth="1"/>
    <col min="6146" max="6146" width="5.83203125" style="1473" customWidth="1"/>
    <col min="6147" max="6147" width="4.33203125" style="1473" customWidth="1"/>
    <col min="6148" max="6148" width="73.6640625" style="1473" customWidth="1"/>
    <col min="6149" max="6149" width="19.1640625" style="1473" customWidth="1"/>
    <col min="6150" max="6150" width="16.83203125" style="1473" customWidth="1"/>
    <col min="6151" max="6151" width="22.1640625" style="1473" customWidth="1"/>
    <col min="6152" max="6400" width="9.33203125" style="1473"/>
    <col min="6401" max="6401" width="3.1640625" style="1473" customWidth="1"/>
    <col min="6402" max="6402" width="5.83203125" style="1473" customWidth="1"/>
    <col min="6403" max="6403" width="4.33203125" style="1473" customWidth="1"/>
    <col min="6404" max="6404" width="73.6640625" style="1473" customWidth="1"/>
    <col min="6405" max="6405" width="19.1640625" style="1473" customWidth="1"/>
    <col min="6406" max="6406" width="16.83203125" style="1473" customWidth="1"/>
    <col min="6407" max="6407" width="22.1640625" style="1473" customWidth="1"/>
    <col min="6408" max="6656" width="9.33203125" style="1473"/>
    <col min="6657" max="6657" width="3.1640625" style="1473" customWidth="1"/>
    <col min="6658" max="6658" width="5.83203125" style="1473" customWidth="1"/>
    <col min="6659" max="6659" width="4.33203125" style="1473" customWidth="1"/>
    <col min="6660" max="6660" width="73.6640625" style="1473" customWidth="1"/>
    <col min="6661" max="6661" width="19.1640625" style="1473" customWidth="1"/>
    <col min="6662" max="6662" width="16.83203125" style="1473" customWidth="1"/>
    <col min="6663" max="6663" width="22.1640625" style="1473" customWidth="1"/>
    <col min="6664" max="6912" width="9.33203125" style="1473"/>
    <col min="6913" max="6913" width="3.1640625" style="1473" customWidth="1"/>
    <col min="6914" max="6914" width="5.83203125" style="1473" customWidth="1"/>
    <col min="6915" max="6915" width="4.33203125" style="1473" customWidth="1"/>
    <col min="6916" max="6916" width="73.6640625" style="1473" customWidth="1"/>
    <col min="6917" max="6917" width="19.1640625" style="1473" customWidth="1"/>
    <col min="6918" max="6918" width="16.83203125" style="1473" customWidth="1"/>
    <col min="6919" max="6919" width="22.1640625" style="1473" customWidth="1"/>
    <col min="6920" max="7168" width="9.33203125" style="1473"/>
    <col min="7169" max="7169" width="3.1640625" style="1473" customWidth="1"/>
    <col min="7170" max="7170" width="5.83203125" style="1473" customWidth="1"/>
    <col min="7171" max="7171" width="4.33203125" style="1473" customWidth="1"/>
    <col min="7172" max="7172" width="73.6640625" style="1473" customWidth="1"/>
    <col min="7173" max="7173" width="19.1640625" style="1473" customWidth="1"/>
    <col min="7174" max="7174" width="16.83203125" style="1473" customWidth="1"/>
    <col min="7175" max="7175" width="22.1640625" style="1473" customWidth="1"/>
    <col min="7176" max="7424" width="9.33203125" style="1473"/>
    <col min="7425" max="7425" width="3.1640625" style="1473" customWidth="1"/>
    <col min="7426" max="7426" width="5.83203125" style="1473" customWidth="1"/>
    <col min="7427" max="7427" width="4.33203125" style="1473" customWidth="1"/>
    <col min="7428" max="7428" width="73.6640625" style="1473" customWidth="1"/>
    <col min="7429" max="7429" width="19.1640625" style="1473" customWidth="1"/>
    <col min="7430" max="7430" width="16.83203125" style="1473" customWidth="1"/>
    <col min="7431" max="7431" width="22.1640625" style="1473" customWidth="1"/>
    <col min="7432" max="7680" width="9.33203125" style="1473"/>
    <col min="7681" max="7681" width="3.1640625" style="1473" customWidth="1"/>
    <col min="7682" max="7682" width="5.83203125" style="1473" customWidth="1"/>
    <col min="7683" max="7683" width="4.33203125" style="1473" customWidth="1"/>
    <col min="7684" max="7684" width="73.6640625" style="1473" customWidth="1"/>
    <col min="7685" max="7685" width="19.1640625" style="1473" customWidth="1"/>
    <col min="7686" max="7686" width="16.83203125" style="1473" customWidth="1"/>
    <col min="7687" max="7687" width="22.1640625" style="1473" customWidth="1"/>
    <col min="7688" max="7936" width="9.33203125" style="1473"/>
    <col min="7937" max="7937" width="3.1640625" style="1473" customWidth="1"/>
    <col min="7938" max="7938" width="5.83203125" style="1473" customWidth="1"/>
    <col min="7939" max="7939" width="4.33203125" style="1473" customWidth="1"/>
    <col min="7940" max="7940" width="73.6640625" style="1473" customWidth="1"/>
    <col min="7941" max="7941" width="19.1640625" style="1473" customWidth="1"/>
    <col min="7942" max="7942" width="16.83203125" style="1473" customWidth="1"/>
    <col min="7943" max="7943" width="22.1640625" style="1473" customWidth="1"/>
    <col min="7944" max="8192" width="9.33203125" style="1473"/>
    <col min="8193" max="8193" width="3.1640625" style="1473" customWidth="1"/>
    <col min="8194" max="8194" width="5.83203125" style="1473" customWidth="1"/>
    <col min="8195" max="8195" width="4.33203125" style="1473" customWidth="1"/>
    <col min="8196" max="8196" width="73.6640625" style="1473" customWidth="1"/>
    <col min="8197" max="8197" width="19.1640625" style="1473" customWidth="1"/>
    <col min="8198" max="8198" width="16.83203125" style="1473" customWidth="1"/>
    <col min="8199" max="8199" width="22.1640625" style="1473" customWidth="1"/>
    <col min="8200" max="8448" width="9.33203125" style="1473"/>
    <col min="8449" max="8449" width="3.1640625" style="1473" customWidth="1"/>
    <col min="8450" max="8450" width="5.83203125" style="1473" customWidth="1"/>
    <col min="8451" max="8451" width="4.33203125" style="1473" customWidth="1"/>
    <col min="8452" max="8452" width="73.6640625" style="1473" customWidth="1"/>
    <col min="8453" max="8453" width="19.1640625" style="1473" customWidth="1"/>
    <col min="8454" max="8454" width="16.83203125" style="1473" customWidth="1"/>
    <col min="8455" max="8455" width="22.1640625" style="1473" customWidth="1"/>
    <col min="8456" max="8704" width="9.33203125" style="1473"/>
    <col min="8705" max="8705" width="3.1640625" style="1473" customWidth="1"/>
    <col min="8706" max="8706" width="5.83203125" style="1473" customWidth="1"/>
    <col min="8707" max="8707" width="4.33203125" style="1473" customWidth="1"/>
    <col min="8708" max="8708" width="73.6640625" style="1473" customWidth="1"/>
    <col min="8709" max="8709" width="19.1640625" style="1473" customWidth="1"/>
    <col min="8710" max="8710" width="16.83203125" style="1473" customWidth="1"/>
    <col min="8711" max="8711" width="22.1640625" style="1473" customWidth="1"/>
    <col min="8712" max="8960" width="9.33203125" style="1473"/>
    <col min="8961" max="8961" width="3.1640625" style="1473" customWidth="1"/>
    <col min="8962" max="8962" width="5.83203125" style="1473" customWidth="1"/>
    <col min="8963" max="8963" width="4.33203125" style="1473" customWidth="1"/>
    <col min="8964" max="8964" width="73.6640625" style="1473" customWidth="1"/>
    <col min="8965" max="8965" width="19.1640625" style="1473" customWidth="1"/>
    <col min="8966" max="8966" width="16.83203125" style="1473" customWidth="1"/>
    <col min="8967" max="8967" width="22.1640625" style="1473" customWidth="1"/>
    <col min="8968" max="9216" width="9.33203125" style="1473"/>
    <col min="9217" max="9217" width="3.1640625" style="1473" customWidth="1"/>
    <col min="9218" max="9218" width="5.83203125" style="1473" customWidth="1"/>
    <col min="9219" max="9219" width="4.33203125" style="1473" customWidth="1"/>
    <col min="9220" max="9220" width="73.6640625" style="1473" customWidth="1"/>
    <col min="9221" max="9221" width="19.1640625" style="1473" customWidth="1"/>
    <col min="9222" max="9222" width="16.83203125" style="1473" customWidth="1"/>
    <col min="9223" max="9223" width="22.1640625" style="1473" customWidth="1"/>
    <col min="9224" max="9472" width="9.33203125" style="1473"/>
    <col min="9473" max="9473" width="3.1640625" style="1473" customWidth="1"/>
    <col min="9474" max="9474" width="5.83203125" style="1473" customWidth="1"/>
    <col min="9475" max="9475" width="4.33203125" style="1473" customWidth="1"/>
    <col min="9476" max="9476" width="73.6640625" style="1473" customWidth="1"/>
    <col min="9477" max="9477" width="19.1640625" style="1473" customWidth="1"/>
    <col min="9478" max="9478" width="16.83203125" style="1473" customWidth="1"/>
    <col min="9479" max="9479" width="22.1640625" style="1473" customWidth="1"/>
    <col min="9480" max="9728" width="9.33203125" style="1473"/>
    <col min="9729" max="9729" width="3.1640625" style="1473" customWidth="1"/>
    <col min="9730" max="9730" width="5.83203125" style="1473" customWidth="1"/>
    <col min="9731" max="9731" width="4.33203125" style="1473" customWidth="1"/>
    <col min="9732" max="9732" width="73.6640625" style="1473" customWidth="1"/>
    <col min="9733" max="9733" width="19.1640625" style="1473" customWidth="1"/>
    <col min="9734" max="9734" width="16.83203125" style="1473" customWidth="1"/>
    <col min="9735" max="9735" width="22.1640625" style="1473" customWidth="1"/>
    <col min="9736" max="9984" width="9.33203125" style="1473"/>
    <col min="9985" max="9985" width="3.1640625" style="1473" customWidth="1"/>
    <col min="9986" max="9986" width="5.83203125" style="1473" customWidth="1"/>
    <col min="9987" max="9987" width="4.33203125" style="1473" customWidth="1"/>
    <col min="9988" max="9988" width="73.6640625" style="1473" customWidth="1"/>
    <col min="9989" max="9989" width="19.1640625" style="1473" customWidth="1"/>
    <col min="9990" max="9990" width="16.83203125" style="1473" customWidth="1"/>
    <col min="9991" max="9991" width="22.1640625" style="1473" customWidth="1"/>
    <col min="9992" max="10240" width="9.33203125" style="1473"/>
    <col min="10241" max="10241" width="3.1640625" style="1473" customWidth="1"/>
    <col min="10242" max="10242" width="5.83203125" style="1473" customWidth="1"/>
    <col min="10243" max="10243" width="4.33203125" style="1473" customWidth="1"/>
    <col min="10244" max="10244" width="73.6640625" style="1473" customWidth="1"/>
    <col min="10245" max="10245" width="19.1640625" style="1473" customWidth="1"/>
    <col min="10246" max="10246" width="16.83203125" style="1473" customWidth="1"/>
    <col min="10247" max="10247" width="22.1640625" style="1473" customWidth="1"/>
    <col min="10248" max="10496" width="9.33203125" style="1473"/>
    <col min="10497" max="10497" width="3.1640625" style="1473" customWidth="1"/>
    <col min="10498" max="10498" width="5.83203125" style="1473" customWidth="1"/>
    <col min="10499" max="10499" width="4.33203125" style="1473" customWidth="1"/>
    <col min="10500" max="10500" width="73.6640625" style="1473" customWidth="1"/>
    <col min="10501" max="10501" width="19.1640625" style="1473" customWidth="1"/>
    <col min="10502" max="10502" width="16.83203125" style="1473" customWidth="1"/>
    <col min="10503" max="10503" width="22.1640625" style="1473" customWidth="1"/>
    <col min="10504" max="10752" width="9.33203125" style="1473"/>
    <col min="10753" max="10753" width="3.1640625" style="1473" customWidth="1"/>
    <col min="10754" max="10754" width="5.83203125" style="1473" customWidth="1"/>
    <col min="10755" max="10755" width="4.33203125" style="1473" customWidth="1"/>
    <col min="10756" max="10756" width="73.6640625" style="1473" customWidth="1"/>
    <col min="10757" max="10757" width="19.1640625" style="1473" customWidth="1"/>
    <col min="10758" max="10758" width="16.83203125" style="1473" customWidth="1"/>
    <col min="10759" max="10759" width="22.1640625" style="1473" customWidth="1"/>
    <col min="10760" max="11008" width="9.33203125" style="1473"/>
    <col min="11009" max="11009" width="3.1640625" style="1473" customWidth="1"/>
    <col min="11010" max="11010" width="5.83203125" style="1473" customWidth="1"/>
    <col min="11011" max="11011" width="4.33203125" style="1473" customWidth="1"/>
    <col min="11012" max="11012" width="73.6640625" style="1473" customWidth="1"/>
    <col min="11013" max="11013" width="19.1640625" style="1473" customWidth="1"/>
    <col min="11014" max="11014" width="16.83203125" style="1473" customWidth="1"/>
    <col min="11015" max="11015" width="22.1640625" style="1473" customWidth="1"/>
    <col min="11016" max="11264" width="9.33203125" style="1473"/>
    <col min="11265" max="11265" width="3.1640625" style="1473" customWidth="1"/>
    <col min="11266" max="11266" width="5.83203125" style="1473" customWidth="1"/>
    <col min="11267" max="11267" width="4.33203125" style="1473" customWidth="1"/>
    <col min="11268" max="11268" width="73.6640625" style="1473" customWidth="1"/>
    <col min="11269" max="11269" width="19.1640625" style="1473" customWidth="1"/>
    <col min="11270" max="11270" width="16.83203125" style="1473" customWidth="1"/>
    <col min="11271" max="11271" width="22.1640625" style="1473" customWidth="1"/>
    <col min="11272" max="11520" width="9.33203125" style="1473"/>
    <col min="11521" max="11521" width="3.1640625" style="1473" customWidth="1"/>
    <col min="11522" max="11522" width="5.83203125" style="1473" customWidth="1"/>
    <col min="11523" max="11523" width="4.33203125" style="1473" customWidth="1"/>
    <col min="11524" max="11524" width="73.6640625" style="1473" customWidth="1"/>
    <col min="11525" max="11525" width="19.1640625" style="1473" customWidth="1"/>
    <col min="11526" max="11526" width="16.83203125" style="1473" customWidth="1"/>
    <col min="11527" max="11527" width="22.1640625" style="1473" customWidth="1"/>
    <col min="11528" max="11776" width="9.33203125" style="1473"/>
    <col min="11777" max="11777" width="3.1640625" style="1473" customWidth="1"/>
    <col min="11778" max="11778" width="5.83203125" style="1473" customWidth="1"/>
    <col min="11779" max="11779" width="4.33203125" style="1473" customWidth="1"/>
    <col min="11780" max="11780" width="73.6640625" style="1473" customWidth="1"/>
    <col min="11781" max="11781" width="19.1640625" style="1473" customWidth="1"/>
    <col min="11782" max="11782" width="16.83203125" style="1473" customWidth="1"/>
    <col min="11783" max="11783" width="22.1640625" style="1473" customWidth="1"/>
    <col min="11784" max="12032" width="9.33203125" style="1473"/>
    <col min="12033" max="12033" width="3.1640625" style="1473" customWidth="1"/>
    <col min="12034" max="12034" width="5.83203125" style="1473" customWidth="1"/>
    <col min="12035" max="12035" width="4.33203125" style="1473" customWidth="1"/>
    <col min="12036" max="12036" width="73.6640625" style="1473" customWidth="1"/>
    <col min="12037" max="12037" width="19.1640625" style="1473" customWidth="1"/>
    <col min="12038" max="12038" width="16.83203125" style="1473" customWidth="1"/>
    <col min="12039" max="12039" width="22.1640625" style="1473" customWidth="1"/>
    <col min="12040" max="12288" width="9.33203125" style="1473"/>
    <col min="12289" max="12289" width="3.1640625" style="1473" customWidth="1"/>
    <col min="12290" max="12290" width="5.83203125" style="1473" customWidth="1"/>
    <col min="12291" max="12291" width="4.33203125" style="1473" customWidth="1"/>
    <col min="12292" max="12292" width="73.6640625" style="1473" customWidth="1"/>
    <col min="12293" max="12293" width="19.1640625" style="1473" customWidth="1"/>
    <col min="12294" max="12294" width="16.83203125" style="1473" customWidth="1"/>
    <col min="12295" max="12295" width="22.1640625" style="1473" customWidth="1"/>
    <col min="12296" max="12544" width="9.33203125" style="1473"/>
    <col min="12545" max="12545" width="3.1640625" style="1473" customWidth="1"/>
    <col min="12546" max="12546" width="5.83203125" style="1473" customWidth="1"/>
    <col min="12547" max="12547" width="4.33203125" style="1473" customWidth="1"/>
    <col min="12548" max="12548" width="73.6640625" style="1473" customWidth="1"/>
    <col min="12549" max="12549" width="19.1640625" style="1473" customWidth="1"/>
    <col min="12550" max="12550" width="16.83203125" style="1473" customWidth="1"/>
    <col min="12551" max="12551" width="22.1640625" style="1473" customWidth="1"/>
    <col min="12552" max="12800" width="9.33203125" style="1473"/>
    <col min="12801" max="12801" width="3.1640625" style="1473" customWidth="1"/>
    <col min="12802" max="12802" width="5.83203125" style="1473" customWidth="1"/>
    <col min="12803" max="12803" width="4.33203125" style="1473" customWidth="1"/>
    <col min="12804" max="12804" width="73.6640625" style="1473" customWidth="1"/>
    <col min="12805" max="12805" width="19.1640625" style="1473" customWidth="1"/>
    <col min="12806" max="12806" width="16.83203125" style="1473" customWidth="1"/>
    <col min="12807" max="12807" width="22.1640625" style="1473" customWidth="1"/>
    <col min="12808" max="13056" width="9.33203125" style="1473"/>
    <col min="13057" max="13057" width="3.1640625" style="1473" customWidth="1"/>
    <col min="13058" max="13058" width="5.83203125" style="1473" customWidth="1"/>
    <col min="13059" max="13059" width="4.33203125" style="1473" customWidth="1"/>
    <col min="13060" max="13060" width="73.6640625" style="1473" customWidth="1"/>
    <col min="13061" max="13061" width="19.1640625" style="1473" customWidth="1"/>
    <col min="13062" max="13062" width="16.83203125" style="1473" customWidth="1"/>
    <col min="13063" max="13063" width="22.1640625" style="1473" customWidth="1"/>
    <col min="13064" max="13312" width="9.33203125" style="1473"/>
    <col min="13313" max="13313" width="3.1640625" style="1473" customWidth="1"/>
    <col min="13314" max="13314" width="5.83203125" style="1473" customWidth="1"/>
    <col min="13315" max="13315" width="4.33203125" style="1473" customWidth="1"/>
    <col min="13316" max="13316" width="73.6640625" style="1473" customWidth="1"/>
    <col min="13317" max="13317" width="19.1640625" style="1473" customWidth="1"/>
    <col min="13318" max="13318" width="16.83203125" style="1473" customWidth="1"/>
    <col min="13319" max="13319" width="22.1640625" style="1473" customWidth="1"/>
    <col min="13320" max="13568" width="9.33203125" style="1473"/>
    <col min="13569" max="13569" width="3.1640625" style="1473" customWidth="1"/>
    <col min="13570" max="13570" width="5.83203125" style="1473" customWidth="1"/>
    <col min="13571" max="13571" width="4.33203125" style="1473" customWidth="1"/>
    <col min="13572" max="13572" width="73.6640625" style="1473" customWidth="1"/>
    <col min="13573" max="13573" width="19.1640625" style="1473" customWidth="1"/>
    <col min="13574" max="13574" width="16.83203125" style="1473" customWidth="1"/>
    <col min="13575" max="13575" width="22.1640625" style="1473" customWidth="1"/>
    <col min="13576" max="13824" width="9.33203125" style="1473"/>
    <col min="13825" max="13825" width="3.1640625" style="1473" customWidth="1"/>
    <col min="13826" max="13826" width="5.83203125" style="1473" customWidth="1"/>
    <col min="13827" max="13827" width="4.33203125" style="1473" customWidth="1"/>
    <col min="13828" max="13828" width="73.6640625" style="1473" customWidth="1"/>
    <col min="13829" max="13829" width="19.1640625" style="1473" customWidth="1"/>
    <col min="13830" max="13830" width="16.83203125" style="1473" customWidth="1"/>
    <col min="13831" max="13831" width="22.1640625" style="1473" customWidth="1"/>
    <col min="13832" max="14080" width="9.33203125" style="1473"/>
    <col min="14081" max="14081" width="3.1640625" style="1473" customWidth="1"/>
    <col min="14082" max="14082" width="5.83203125" style="1473" customWidth="1"/>
    <col min="14083" max="14083" width="4.33203125" style="1473" customWidth="1"/>
    <col min="14084" max="14084" width="73.6640625" style="1473" customWidth="1"/>
    <col min="14085" max="14085" width="19.1640625" style="1473" customWidth="1"/>
    <col min="14086" max="14086" width="16.83203125" style="1473" customWidth="1"/>
    <col min="14087" max="14087" width="22.1640625" style="1473" customWidth="1"/>
    <col min="14088" max="14336" width="9.33203125" style="1473"/>
    <col min="14337" max="14337" width="3.1640625" style="1473" customWidth="1"/>
    <col min="14338" max="14338" width="5.83203125" style="1473" customWidth="1"/>
    <col min="14339" max="14339" width="4.33203125" style="1473" customWidth="1"/>
    <col min="14340" max="14340" width="73.6640625" style="1473" customWidth="1"/>
    <col min="14341" max="14341" width="19.1640625" style="1473" customWidth="1"/>
    <col min="14342" max="14342" width="16.83203125" style="1473" customWidth="1"/>
    <col min="14343" max="14343" width="22.1640625" style="1473" customWidth="1"/>
    <col min="14344" max="14592" width="9.33203125" style="1473"/>
    <col min="14593" max="14593" width="3.1640625" style="1473" customWidth="1"/>
    <col min="14594" max="14594" width="5.83203125" style="1473" customWidth="1"/>
    <col min="14595" max="14595" width="4.33203125" style="1473" customWidth="1"/>
    <col min="14596" max="14596" width="73.6640625" style="1473" customWidth="1"/>
    <col min="14597" max="14597" width="19.1640625" style="1473" customWidth="1"/>
    <col min="14598" max="14598" width="16.83203125" style="1473" customWidth="1"/>
    <col min="14599" max="14599" width="22.1640625" style="1473" customWidth="1"/>
    <col min="14600" max="14848" width="9.33203125" style="1473"/>
    <col min="14849" max="14849" width="3.1640625" style="1473" customWidth="1"/>
    <col min="14850" max="14850" width="5.83203125" style="1473" customWidth="1"/>
    <col min="14851" max="14851" width="4.33203125" style="1473" customWidth="1"/>
    <col min="14852" max="14852" width="73.6640625" style="1473" customWidth="1"/>
    <col min="14853" max="14853" width="19.1640625" style="1473" customWidth="1"/>
    <col min="14854" max="14854" width="16.83203125" style="1473" customWidth="1"/>
    <col min="14855" max="14855" width="22.1640625" style="1473" customWidth="1"/>
    <col min="14856" max="15104" width="9.33203125" style="1473"/>
    <col min="15105" max="15105" width="3.1640625" style="1473" customWidth="1"/>
    <col min="15106" max="15106" width="5.83203125" style="1473" customWidth="1"/>
    <col min="15107" max="15107" width="4.33203125" style="1473" customWidth="1"/>
    <col min="15108" max="15108" width="73.6640625" style="1473" customWidth="1"/>
    <col min="15109" max="15109" width="19.1640625" style="1473" customWidth="1"/>
    <col min="15110" max="15110" width="16.83203125" style="1473" customWidth="1"/>
    <col min="15111" max="15111" width="22.1640625" style="1473" customWidth="1"/>
    <col min="15112" max="15360" width="9.33203125" style="1473"/>
    <col min="15361" max="15361" width="3.1640625" style="1473" customWidth="1"/>
    <col min="15362" max="15362" width="5.83203125" style="1473" customWidth="1"/>
    <col min="15363" max="15363" width="4.33203125" style="1473" customWidth="1"/>
    <col min="15364" max="15364" width="73.6640625" style="1473" customWidth="1"/>
    <col min="15365" max="15365" width="19.1640625" style="1473" customWidth="1"/>
    <col min="15366" max="15366" width="16.83203125" style="1473" customWidth="1"/>
    <col min="15367" max="15367" width="22.1640625" style="1473" customWidth="1"/>
    <col min="15368" max="15616" width="9.33203125" style="1473"/>
    <col min="15617" max="15617" width="3.1640625" style="1473" customWidth="1"/>
    <col min="15618" max="15618" width="5.83203125" style="1473" customWidth="1"/>
    <col min="15619" max="15619" width="4.33203125" style="1473" customWidth="1"/>
    <col min="15620" max="15620" width="73.6640625" style="1473" customWidth="1"/>
    <col min="15621" max="15621" width="19.1640625" style="1473" customWidth="1"/>
    <col min="15622" max="15622" width="16.83203125" style="1473" customWidth="1"/>
    <col min="15623" max="15623" width="22.1640625" style="1473" customWidth="1"/>
    <col min="15624" max="15872" width="9.33203125" style="1473"/>
    <col min="15873" max="15873" width="3.1640625" style="1473" customWidth="1"/>
    <col min="15874" max="15874" width="5.83203125" style="1473" customWidth="1"/>
    <col min="15875" max="15875" width="4.33203125" style="1473" customWidth="1"/>
    <col min="15876" max="15876" width="73.6640625" style="1473" customWidth="1"/>
    <col min="15877" max="15877" width="19.1640625" style="1473" customWidth="1"/>
    <col min="15878" max="15878" width="16.83203125" style="1473" customWidth="1"/>
    <col min="15879" max="15879" width="22.1640625" style="1473" customWidth="1"/>
    <col min="15880" max="16128" width="9.33203125" style="1473"/>
    <col min="16129" max="16129" width="3.1640625" style="1473" customWidth="1"/>
    <col min="16130" max="16130" width="5.83203125" style="1473" customWidth="1"/>
    <col min="16131" max="16131" width="4.33203125" style="1473" customWidth="1"/>
    <col min="16132" max="16132" width="73.6640625" style="1473" customWidth="1"/>
    <col min="16133" max="16133" width="19.1640625" style="1473" customWidth="1"/>
    <col min="16134" max="16134" width="16.83203125" style="1473" customWidth="1"/>
    <col min="16135" max="16135" width="22.1640625" style="1473" customWidth="1"/>
    <col min="16136" max="16384" width="9.33203125" style="1473"/>
  </cols>
  <sheetData>
    <row r="1" spans="1:7" ht="22.5" customHeight="1">
      <c r="A1" s="1490" t="s">
        <v>2254</v>
      </c>
      <c r="B1" s="1490"/>
      <c r="C1" s="1490"/>
      <c r="D1" s="1490"/>
      <c r="E1" s="1491">
        <f>SUM('15.2. sz. mell'!E1)</f>
        <v>1028758206</v>
      </c>
      <c r="F1" s="1543"/>
    </row>
    <row r="2" spans="1:7" ht="22.5" customHeight="1">
      <c r="A2" s="1490"/>
      <c r="B2" s="1490"/>
      <c r="C2" s="1490"/>
      <c r="D2" s="1490" t="s">
        <v>2245</v>
      </c>
      <c r="E2" s="1491">
        <f>SUM('15.2. sz. mell'!E2)</f>
        <v>279535334</v>
      </c>
      <c r="F2" s="1543"/>
      <c r="G2" s="1253"/>
    </row>
    <row r="3" spans="1:7" ht="22.5" customHeight="1" thickBot="1">
      <c r="A3" s="1490"/>
      <c r="B3" s="1490"/>
      <c r="C3" s="1490"/>
      <c r="D3" s="1544" t="s">
        <v>2248</v>
      </c>
      <c r="E3" s="1545">
        <f>SUM('15.2. sz. mell'!E43)</f>
        <v>480182069</v>
      </c>
      <c r="F3" s="1543"/>
      <c r="G3" s="1253"/>
    </row>
    <row r="4" spans="1:7" ht="22.5" customHeight="1">
      <c r="A4" s="1490"/>
      <c r="B4" s="1490"/>
      <c r="C4" s="1490"/>
      <c r="D4" s="1546" t="s">
        <v>2249</v>
      </c>
      <c r="E4" s="1547">
        <f>SUM(E1-E2-E3)</f>
        <v>269040803</v>
      </c>
      <c r="F4" s="1543"/>
      <c r="G4" s="1253"/>
    </row>
    <row r="5" spans="1:7" ht="22.5" customHeight="1">
      <c r="A5" s="1490"/>
      <c r="B5" s="1490"/>
      <c r="C5" s="1490"/>
      <c r="D5" s="1544"/>
      <c r="E5" s="1545"/>
      <c r="F5" s="1543"/>
    </row>
    <row r="6" spans="1:7" ht="22.5" customHeight="1">
      <c r="A6" s="1548" t="s">
        <v>318</v>
      </c>
      <c r="B6" s="1549"/>
      <c r="C6" s="1549"/>
      <c r="D6" s="1550" t="s">
        <v>2250</v>
      </c>
      <c r="E6" s="1551" t="s">
        <v>2251</v>
      </c>
      <c r="F6" s="1543"/>
    </row>
    <row r="7" spans="1:7" ht="22.5" customHeight="1">
      <c r="A7" s="1500"/>
      <c r="B7" s="1501" t="s">
        <v>4</v>
      </c>
      <c r="C7" s="1552"/>
      <c r="D7" s="1590" t="s">
        <v>2296</v>
      </c>
      <c r="E7" s="1591">
        <v>20000000</v>
      </c>
      <c r="F7" s="1543"/>
    </row>
    <row r="8" spans="1:7" ht="33" customHeight="1">
      <c r="A8" s="1500"/>
      <c r="B8" s="1501" t="s">
        <v>5</v>
      </c>
      <c r="C8" s="1552"/>
      <c r="D8" s="1590" t="s">
        <v>2297</v>
      </c>
      <c r="E8" s="1591">
        <v>5000000</v>
      </c>
      <c r="F8" s="1543"/>
    </row>
    <row r="9" spans="1:7" ht="22.5" customHeight="1">
      <c r="A9" s="1500"/>
      <c r="B9" s="1501" t="s">
        <v>19</v>
      </c>
      <c r="C9" s="1552"/>
      <c r="D9" s="1592" t="s">
        <v>2298</v>
      </c>
      <c r="E9" s="1593">
        <v>4000000</v>
      </c>
      <c r="F9" s="1543"/>
    </row>
    <row r="10" spans="1:7" ht="22.5" customHeight="1">
      <c r="A10" s="1500"/>
      <c r="B10" s="1501" t="s">
        <v>149</v>
      </c>
      <c r="C10" s="1552"/>
      <c r="D10" s="1590" t="s">
        <v>2299</v>
      </c>
      <c r="E10" s="1591">
        <v>2540000</v>
      </c>
      <c r="F10" s="1543"/>
    </row>
    <row r="11" spans="1:7" ht="22.5" customHeight="1">
      <c r="A11" s="1500"/>
      <c r="B11" s="1501" t="s">
        <v>38</v>
      </c>
      <c r="C11" s="1552"/>
      <c r="D11" s="1590" t="s">
        <v>2300</v>
      </c>
      <c r="E11" s="1591">
        <v>20400000</v>
      </c>
      <c r="F11" s="1543"/>
    </row>
    <row r="12" spans="1:7" ht="22.5" customHeight="1">
      <c r="A12" s="1500"/>
      <c r="B12" s="1501" t="s">
        <v>48</v>
      </c>
      <c r="C12" s="1552"/>
      <c r="D12" s="1590" t="s">
        <v>2301</v>
      </c>
      <c r="E12" s="1591">
        <v>1270000</v>
      </c>
      <c r="F12" s="1543"/>
    </row>
    <row r="13" spans="1:7" ht="22.5" customHeight="1">
      <c r="A13" s="1500"/>
      <c r="B13" s="1501" t="s">
        <v>178</v>
      </c>
      <c r="C13" s="1552"/>
      <c r="D13" s="1591" t="s">
        <v>2302</v>
      </c>
      <c r="E13" s="1591">
        <v>1270000</v>
      </c>
      <c r="F13" s="1543"/>
    </row>
    <row r="14" spans="1:7" ht="22.5" customHeight="1">
      <c r="A14" s="1500"/>
      <c r="B14" s="1501" t="s">
        <v>74</v>
      </c>
      <c r="C14" s="1552"/>
      <c r="D14" s="1590" t="s">
        <v>2304</v>
      </c>
      <c r="E14" s="1591">
        <v>472000</v>
      </c>
      <c r="F14" s="1543"/>
    </row>
    <row r="15" spans="1:7" ht="22.5" customHeight="1">
      <c r="A15" s="1500"/>
      <c r="B15" s="1501" t="s">
        <v>205</v>
      </c>
      <c r="C15" s="1552"/>
      <c r="D15" s="1590" t="s">
        <v>152</v>
      </c>
      <c r="E15" s="1591">
        <v>20048803</v>
      </c>
      <c r="F15" s="1543"/>
    </row>
    <row r="16" spans="1:7" ht="22.5" customHeight="1">
      <c r="A16" s="1500"/>
      <c r="B16" s="1501" t="s">
        <v>79</v>
      </c>
      <c r="C16" s="1552"/>
      <c r="D16" s="1592" t="s">
        <v>2306</v>
      </c>
      <c r="E16" s="1593">
        <v>4000000</v>
      </c>
      <c r="F16" s="1543"/>
    </row>
    <row r="17" spans="1:7" ht="22.5" customHeight="1">
      <c r="A17" s="1500"/>
      <c r="B17" s="1501" t="s">
        <v>80</v>
      </c>
      <c r="C17" s="1552"/>
      <c r="D17" s="1592" t="s">
        <v>2311</v>
      </c>
      <c r="E17" s="1591">
        <f>SUM(E18:E20)</f>
        <v>3810000</v>
      </c>
      <c r="F17" s="1543"/>
    </row>
    <row r="18" spans="1:7" ht="22.5" customHeight="1">
      <c r="A18" s="1500"/>
      <c r="B18" s="1501" t="s">
        <v>85</v>
      </c>
      <c r="C18" s="1552"/>
      <c r="D18" s="1592" t="s">
        <v>2312</v>
      </c>
      <c r="E18" s="1591">
        <v>1270000</v>
      </c>
      <c r="F18" s="1543"/>
    </row>
    <row r="19" spans="1:7" ht="22.5" customHeight="1">
      <c r="A19" s="1500"/>
      <c r="B19" s="1501" t="s">
        <v>98</v>
      </c>
      <c r="C19" s="1552"/>
      <c r="D19" s="1592" t="s">
        <v>2313</v>
      </c>
      <c r="E19" s="1591">
        <v>1270000</v>
      </c>
      <c r="F19" s="1543"/>
    </row>
    <row r="20" spans="1:7" ht="22.5" customHeight="1">
      <c r="A20" s="1500"/>
      <c r="B20" s="1501" t="s">
        <v>99</v>
      </c>
      <c r="C20" s="1552"/>
      <c r="D20" s="1592" t="s">
        <v>827</v>
      </c>
      <c r="E20" s="1591">
        <v>1270000</v>
      </c>
      <c r="F20" s="1543"/>
    </row>
    <row r="21" spans="1:7" ht="22.5" customHeight="1">
      <c r="A21" s="1500"/>
      <c r="B21" s="1501" t="s">
        <v>210</v>
      </c>
      <c r="C21" s="1552"/>
      <c r="D21" s="1592" t="s">
        <v>2319</v>
      </c>
      <c r="E21" s="1591">
        <v>1500000</v>
      </c>
      <c r="F21" s="1543"/>
    </row>
    <row r="22" spans="1:7" ht="22.5" customHeight="1">
      <c r="A22" s="1500"/>
      <c r="B22" s="1501" t="s">
        <v>212</v>
      </c>
      <c r="C22" s="1552"/>
      <c r="D22" s="1590" t="s">
        <v>2320</v>
      </c>
      <c r="E22" s="1591">
        <v>2000000</v>
      </c>
      <c r="F22" s="1543"/>
    </row>
    <row r="23" spans="1:7" ht="22.5" customHeight="1">
      <c r="A23" s="1500"/>
      <c r="B23" s="1501" t="s">
        <v>214</v>
      </c>
      <c r="C23" s="1552"/>
      <c r="D23" s="1590" t="s">
        <v>539</v>
      </c>
      <c r="E23" s="1591">
        <v>3500000</v>
      </c>
      <c r="F23" s="1543"/>
    </row>
    <row r="24" spans="1:7" ht="22.5" customHeight="1">
      <c r="A24" s="1500"/>
      <c r="B24" s="1501" t="s">
        <v>215</v>
      </c>
      <c r="C24" s="1552"/>
      <c r="D24" s="1590" t="s">
        <v>2321</v>
      </c>
      <c r="E24" s="1591">
        <v>700000</v>
      </c>
      <c r="F24" s="1543"/>
    </row>
    <row r="25" spans="1:7" ht="34.5" customHeight="1">
      <c r="A25" s="1500"/>
      <c r="B25" s="1501" t="s">
        <v>217</v>
      </c>
      <c r="C25" s="1552"/>
      <c r="D25" s="1590" t="s">
        <v>2323</v>
      </c>
      <c r="E25" s="1591">
        <f>SUM(E26:E29)</f>
        <v>2000000</v>
      </c>
      <c r="F25" s="1543"/>
    </row>
    <row r="26" spans="1:7" ht="22.5" customHeight="1">
      <c r="A26" s="1500"/>
      <c r="B26" s="1501" t="s">
        <v>219</v>
      </c>
      <c r="C26" s="1552"/>
      <c r="D26" s="1594" t="s">
        <v>2312</v>
      </c>
      <c r="E26" s="1591">
        <v>900000</v>
      </c>
      <c r="F26" s="1543"/>
    </row>
    <row r="27" spans="1:7" ht="22.5" customHeight="1">
      <c r="A27" s="1500"/>
      <c r="B27" s="1501" t="s">
        <v>221</v>
      </c>
      <c r="C27" s="1552"/>
      <c r="D27" s="1594" t="s">
        <v>2324</v>
      </c>
      <c r="E27" s="1591">
        <v>300000</v>
      </c>
      <c r="F27" s="1543"/>
    </row>
    <row r="28" spans="1:7" ht="22.5" customHeight="1">
      <c r="A28" s="1500"/>
      <c r="B28" s="1501" t="s">
        <v>222</v>
      </c>
      <c r="C28" s="1552"/>
      <c r="D28" s="1594" t="s">
        <v>889</v>
      </c>
      <c r="E28" s="1591">
        <v>600000</v>
      </c>
      <c r="F28" s="1543"/>
    </row>
    <row r="29" spans="1:7" ht="22.5" customHeight="1">
      <c r="A29" s="1500"/>
      <c r="B29" s="1501" t="s">
        <v>224</v>
      </c>
      <c r="C29" s="1552"/>
      <c r="D29" s="1594" t="s">
        <v>827</v>
      </c>
      <c r="E29" s="1591">
        <v>200000</v>
      </c>
      <c r="F29" s="1543"/>
    </row>
    <row r="30" spans="1:7" ht="22.5" customHeight="1">
      <c r="A30" s="1500"/>
      <c r="B30" s="1501" t="s">
        <v>225</v>
      </c>
      <c r="C30" s="1552"/>
      <c r="D30" s="1590" t="s">
        <v>2325</v>
      </c>
      <c r="E30" s="1591">
        <v>2500000</v>
      </c>
      <c r="F30" s="1543"/>
    </row>
    <row r="31" spans="1:7" ht="22.5" customHeight="1">
      <c r="A31" s="1500"/>
      <c r="B31" s="1501" t="s">
        <v>227</v>
      </c>
      <c r="C31" s="1552"/>
      <c r="D31" s="1590" t="s">
        <v>2328</v>
      </c>
      <c r="E31" s="1591">
        <f>SUM(E33:E45)</f>
        <v>5000000</v>
      </c>
      <c r="F31" s="1543"/>
    </row>
    <row r="32" spans="1:7" ht="22.5" customHeight="1">
      <c r="A32" s="1761"/>
      <c r="B32" s="1501"/>
      <c r="C32" s="1762"/>
      <c r="D32" s="1764" t="s">
        <v>2461</v>
      </c>
      <c r="E32" s="1765"/>
      <c r="F32" s="1543"/>
      <c r="G32" s="1253">
        <v>5000000</v>
      </c>
    </row>
    <row r="33" spans="1:7" ht="31.5" customHeight="1">
      <c r="A33" s="1761"/>
      <c r="B33" s="1501"/>
      <c r="C33" s="1762"/>
      <c r="D33" s="1766" t="s">
        <v>2463</v>
      </c>
      <c r="E33" s="1765">
        <v>50000</v>
      </c>
      <c r="F33" s="1543"/>
      <c r="G33" s="1253">
        <f>SUM(E33:E44)</f>
        <v>2950000</v>
      </c>
    </row>
    <row r="34" spans="1:7" ht="22.5" customHeight="1">
      <c r="A34" s="1761"/>
      <c r="B34" s="1501"/>
      <c r="C34" s="1762"/>
      <c r="D34" s="1766" t="s">
        <v>2462</v>
      </c>
      <c r="E34" s="1765">
        <v>1000000</v>
      </c>
      <c r="F34" s="1543"/>
      <c r="G34" s="1763">
        <f>SUM(G32-G33)</f>
        <v>2050000</v>
      </c>
    </row>
    <row r="35" spans="1:7" ht="22.5" customHeight="1">
      <c r="A35" s="1761"/>
      <c r="B35" s="1501"/>
      <c r="C35" s="1762"/>
      <c r="D35" s="1766" t="s">
        <v>2464</v>
      </c>
      <c r="E35" s="1765">
        <v>50000</v>
      </c>
      <c r="F35" s="1543"/>
    </row>
    <row r="36" spans="1:7" ht="22.5" customHeight="1">
      <c r="A36" s="1761"/>
      <c r="B36" s="1501"/>
      <c r="C36" s="1762"/>
      <c r="D36" s="1766" t="s">
        <v>2465</v>
      </c>
      <c r="E36" s="1765">
        <v>500000</v>
      </c>
      <c r="F36" s="1543"/>
    </row>
    <row r="37" spans="1:7" ht="22.5" customHeight="1">
      <c r="A37" s="1761"/>
      <c r="B37" s="1501"/>
      <c r="C37" s="1762"/>
      <c r="D37" s="1766" t="s">
        <v>580</v>
      </c>
      <c r="E37" s="1765">
        <v>50000</v>
      </c>
      <c r="F37" s="1543"/>
    </row>
    <row r="38" spans="1:7" ht="22.5" customHeight="1">
      <c r="A38" s="1761"/>
      <c r="B38" s="1501"/>
      <c r="C38" s="1762"/>
      <c r="D38" s="1766" t="s">
        <v>592</v>
      </c>
      <c r="E38" s="1765">
        <v>50000</v>
      </c>
      <c r="F38" s="1543"/>
    </row>
    <row r="39" spans="1:7" ht="22.5" customHeight="1">
      <c r="A39" s="1761"/>
      <c r="B39" s="1501"/>
      <c r="C39" s="1762"/>
      <c r="D39" s="1766" t="s">
        <v>2466</v>
      </c>
      <c r="E39" s="1765">
        <v>50000</v>
      </c>
      <c r="F39" s="1543"/>
    </row>
    <row r="40" spans="1:7" ht="22.5" customHeight="1">
      <c r="A40" s="1761"/>
      <c r="B40" s="1501"/>
      <c r="C40" s="1762"/>
      <c r="D40" s="1766" t="s">
        <v>2467</v>
      </c>
      <c r="E40" s="1765">
        <v>50000</v>
      </c>
      <c r="F40" s="1543"/>
    </row>
    <row r="41" spans="1:7" ht="22.5" customHeight="1">
      <c r="A41" s="1761"/>
      <c r="B41" s="1501"/>
      <c r="C41" s="1762"/>
      <c r="D41" s="1766" t="s">
        <v>2472</v>
      </c>
      <c r="E41" s="1765">
        <v>50000</v>
      </c>
      <c r="F41" s="1543"/>
    </row>
    <row r="42" spans="1:7" ht="22.5" customHeight="1">
      <c r="A42" s="1761"/>
      <c r="B42" s="1501"/>
      <c r="C42" s="1762"/>
      <c r="D42" s="1766" t="s">
        <v>2468</v>
      </c>
      <c r="E42" s="1765">
        <v>50000</v>
      </c>
      <c r="F42" s="1543"/>
    </row>
    <row r="43" spans="1:7" ht="22.5" customHeight="1">
      <c r="A43" s="1761"/>
      <c r="B43" s="1501"/>
      <c r="C43" s="1762"/>
      <c r="D43" s="1766" t="s">
        <v>2469</v>
      </c>
      <c r="E43" s="1765">
        <v>1000000</v>
      </c>
      <c r="F43" s="1543"/>
    </row>
    <row r="44" spans="1:7" ht="22.5" customHeight="1">
      <c r="A44" s="1761"/>
      <c r="B44" s="1501"/>
      <c r="C44" s="1762"/>
      <c r="D44" s="1766" t="s">
        <v>2470</v>
      </c>
      <c r="E44" s="1765">
        <v>50000</v>
      </c>
      <c r="F44" s="1543"/>
    </row>
    <row r="45" spans="1:7" ht="22.5" customHeight="1">
      <c r="A45" s="1761"/>
      <c r="B45" s="1501"/>
      <c r="C45" s="1762"/>
      <c r="D45" s="1766" t="s">
        <v>2471</v>
      </c>
      <c r="E45" s="1765">
        <v>2050000</v>
      </c>
      <c r="F45" s="1543"/>
    </row>
    <row r="46" spans="1:7" ht="22.5" customHeight="1">
      <c r="A46" s="1500"/>
      <c r="B46" s="1501" t="s">
        <v>229</v>
      </c>
      <c r="C46" s="1552"/>
      <c r="D46" s="1590" t="s">
        <v>2329</v>
      </c>
      <c r="E46" s="1591">
        <v>6000000</v>
      </c>
      <c r="F46" s="1543"/>
    </row>
    <row r="47" spans="1:7" ht="22.5" customHeight="1">
      <c r="A47" s="1500"/>
      <c r="B47" s="1501" t="s">
        <v>2148</v>
      </c>
      <c r="C47" s="1552"/>
      <c r="D47" s="1590" t="s">
        <v>2330</v>
      </c>
      <c r="E47" s="1591">
        <v>6000000</v>
      </c>
      <c r="F47" s="1543"/>
    </row>
    <row r="48" spans="1:7" ht="22.5" customHeight="1">
      <c r="A48" s="1500"/>
      <c r="B48" s="1501" t="s">
        <v>2179</v>
      </c>
      <c r="C48" s="1552"/>
      <c r="D48" s="1590" t="s">
        <v>2331</v>
      </c>
      <c r="E48" s="1591">
        <v>10000000</v>
      </c>
      <c r="F48" s="1543"/>
    </row>
    <row r="49" spans="1:7" ht="22.5" customHeight="1">
      <c r="A49" s="1500"/>
      <c r="B49" s="1501" t="s">
        <v>2199</v>
      </c>
      <c r="C49" s="1552"/>
      <c r="D49" s="1590" t="s">
        <v>2332</v>
      </c>
      <c r="E49" s="1591">
        <v>10000000</v>
      </c>
      <c r="F49" s="1543"/>
    </row>
    <row r="50" spans="1:7" ht="22.5" customHeight="1">
      <c r="A50" s="1553"/>
      <c r="B50" s="1501" t="s">
        <v>2200</v>
      </c>
      <c r="C50" s="1553"/>
      <c r="D50" s="1554"/>
      <c r="E50" s="1515"/>
      <c r="F50" s="1543"/>
    </row>
    <row r="51" spans="1:7" ht="22.5" customHeight="1">
      <c r="A51" s="1555"/>
      <c r="B51" s="1556"/>
      <c r="C51" s="1556"/>
      <c r="D51" s="1557" t="s">
        <v>1181</v>
      </c>
      <c r="E51" s="1558">
        <f>SUM(E7:E49)-E25-E17-E31</f>
        <v>132010803</v>
      </c>
      <c r="F51" s="1543"/>
    </row>
    <row r="52" spans="1:7" ht="22.5" customHeight="1">
      <c r="A52" s="1490"/>
      <c r="B52" s="1490"/>
      <c r="C52" s="1490"/>
      <c r="D52" s="1544"/>
      <c r="E52" s="1545"/>
      <c r="F52" s="1543"/>
    </row>
    <row r="53" spans="1:7" ht="20.100000000000001" customHeight="1">
      <c r="A53" s="1559" t="s">
        <v>318</v>
      </c>
      <c r="B53" s="1560"/>
      <c r="C53" s="1560"/>
      <c r="D53" s="1550" t="s">
        <v>2252</v>
      </c>
      <c r="E53" s="1551" t="s">
        <v>2251</v>
      </c>
      <c r="F53" s="1253"/>
    </row>
    <row r="54" spans="1:7" ht="20.100000000000001" customHeight="1">
      <c r="A54" s="1496"/>
      <c r="B54" s="1497" t="s">
        <v>4</v>
      </c>
      <c r="C54" s="1561"/>
      <c r="D54" s="1590" t="s">
        <v>1264</v>
      </c>
      <c r="E54" s="1591">
        <v>1500000</v>
      </c>
    </row>
    <row r="55" spans="1:7" ht="20.100000000000001" customHeight="1">
      <c r="A55" s="1496"/>
      <c r="B55" s="1497" t="s">
        <v>5</v>
      </c>
      <c r="C55" s="1561"/>
      <c r="D55" s="1592" t="s">
        <v>2303</v>
      </c>
      <c r="E55" s="1593">
        <v>8000000</v>
      </c>
    </row>
    <row r="56" spans="1:7" ht="20.100000000000001" customHeight="1">
      <c r="A56" s="1496"/>
      <c r="B56" s="1497" t="s">
        <v>19</v>
      </c>
      <c r="C56" s="1561"/>
      <c r="D56" s="1592" t="s">
        <v>2305</v>
      </c>
      <c r="E56" s="1593">
        <v>20000000</v>
      </c>
    </row>
    <row r="57" spans="1:7" ht="20.100000000000001" customHeight="1">
      <c r="A57" s="1496"/>
      <c r="B57" s="1497" t="s">
        <v>149</v>
      </c>
      <c r="C57" s="1561"/>
      <c r="D57" s="1592" t="s">
        <v>2307</v>
      </c>
      <c r="E57" s="1593">
        <v>5000000</v>
      </c>
    </row>
    <row r="58" spans="1:7" ht="20.100000000000001" customHeight="1">
      <c r="A58" s="1496"/>
      <c r="B58" s="1497" t="s">
        <v>38</v>
      </c>
      <c r="C58" s="1552"/>
      <c r="D58" s="1592" t="s">
        <v>2308</v>
      </c>
      <c r="E58" s="1593">
        <v>1000000</v>
      </c>
    </row>
    <row r="59" spans="1:7" ht="20.100000000000001" customHeight="1">
      <c r="A59" s="1496"/>
      <c r="B59" s="1497" t="s">
        <v>48</v>
      </c>
      <c r="C59" s="1552"/>
      <c r="D59" s="1592" t="s">
        <v>2309</v>
      </c>
      <c r="E59" s="1593">
        <v>3600000</v>
      </c>
    </row>
    <row r="60" spans="1:7" ht="15.75" customHeight="1">
      <c r="A60" s="1496"/>
      <c r="B60" s="1497" t="s">
        <v>178</v>
      </c>
      <c r="C60" s="1552"/>
      <c r="D60" s="1587" t="s">
        <v>2310</v>
      </c>
      <c r="E60" s="1586">
        <v>5000000</v>
      </c>
    </row>
    <row r="61" spans="1:7" ht="20.100000000000001" customHeight="1">
      <c r="A61" s="1562"/>
      <c r="B61" s="1497" t="s">
        <v>74</v>
      </c>
      <c r="C61" s="1563"/>
      <c r="D61" s="1590" t="s">
        <v>2314</v>
      </c>
      <c r="E61" s="1591">
        <v>9000000</v>
      </c>
    </row>
    <row r="62" spans="1:7" ht="20.100000000000001" customHeight="1">
      <c r="A62" s="1562"/>
      <c r="B62" s="1497" t="s">
        <v>205</v>
      </c>
      <c r="C62" s="1564"/>
      <c r="D62" s="1590" t="s">
        <v>2315</v>
      </c>
      <c r="E62" s="1591">
        <v>2000000</v>
      </c>
    </row>
    <row r="63" spans="1:7" ht="20.100000000000001" customHeight="1">
      <c r="A63" s="1562"/>
      <c r="B63" s="1497" t="s">
        <v>79</v>
      </c>
      <c r="C63" s="1564"/>
      <c r="D63" s="1590" t="s">
        <v>2316</v>
      </c>
      <c r="E63" s="1591">
        <v>7500000</v>
      </c>
    </row>
    <row r="64" spans="1:7" ht="20.100000000000001" customHeight="1">
      <c r="A64" s="1562"/>
      <c r="B64" s="1497" t="s">
        <v>80</v>
      </c>
      <c r="C64" s="1564"/>
      <c r="D64" s="1590" t="s">
        <v>2317</v>
      </c>
      <c r="E64" s="1591">
        <v>6900000</v>
      </c>
      <c r="G64" s="1253"/>
    </row>
    <row r="65" spans="1:6" ht="20.100000000000001" customHeight="1">
      <c r="A65" s="1562"/>
      <c r="B65" s="1497" t="s">
        <v>85</v>
      </c>
      <c r="C65" s="1564"/>
      <c r="D65" s="1590" t="s">
        <v>2318</v>
      </c>
      <c r="E65" s="1591">
        <v>5500000</v>
      </c>
    </row>
    <row r="66" spans="1:6" ht="20.100000000000001" customHeight="1">
      <c r="A66" s="1562"/>
      <c r="B66" s="1497" t="s">
        <v>98</v>
      </c>
      <c r="C66" s="1564"/>
      <c r="D66" s="1590" t="s">
        <v>2322</v>
      </c>
      <c r="E66" s="1591">
        <v>60000000</v>
      </c>
    </row>
    <row r="67" spans="1:6" ht="20.100000000000001" customHeight="1">
      <c r="A67" s="1562"/>
      <c r="B67" s="1497" t="s">
        <v>99</v>
      </c>
      <c r="C67" s="1564"/>
      <c r="D67" s="1590" t="s">
        <v>2326</v>
      </c>
      <c r="E67" s="1591">
        <v>530000</v>
      </c>
    </row>
    <row r="68" spans="1:6" ht="20.100000000000001" customHeight="1">
      <c r="A68" s="1562"/>
      <c r="B68" s="1497" t="s">
        <v>210</v>
      </c>
      <c r="C68" s="1564"/>
      <c r="D68" s="1590" t="s">
        <v>2327</v>
      </c>
      <c r="E68" s="1591">
        <v>1500000</v>
      </c>
    </row>
    <row r="69" spans="1:6" ht="18" hidden="1" customHeight="1">
      <c r="A69" s="1562"/>
      <c r="B69" s="1497" t="s">
        <v>212</v>
      </c>
      <c r="C69" s="1564"/>
      <c r="D69" s="1565"/>
      <c r="E69" s="1251"/>
    </row>
    <row r="70" spans="1:6" ht="20.100000000000001" hidden="1" customHeight="1">
      <c r="A70" s="1562"/>
      <c r="B70" s="1497" t="s">
        <v>214</v>
      </c>
      <c r="C70" s="1564"/>
      <c r="D70" s="1565"/>
      <c r="E70" s="1251"/>
    </row>
    <row r="71" spans="1:6" ht="20.100000000000001" hidden="1" customHeight="1">
      <c r="A71" s="1562"/>
      <c r="B71" s="1497" t="s">
        <v>215</v>
      </c>
      <c r="C71" s="1564"/>
      <c r="D71" s="1565"/>
      <c r="E71" s="1251"/>
    </row>
    <row r="72" spans="1:6" ht="20.100000000000001" hidden="1" customHeight="1">
      <c r="A72" s="1562"/>
      <c r="B72" s="1497" t="s">
        <v>217</v>
      </c>
      <c r="C72" s="1564"/>
      <c r="D72" s="1565"/>
      <c r="E72" s="1251"/>
    </row>
    <row r="73" spans="1:6" ht="20.100000000000001" hidden="1" customHeight="1">
      <c r="A73" s="1562"/>
      <c r="B73" s="1497" t="s">
        <v>219</v>
      </c>
      <c r="C73" s="1564"/>
      <c r="D73" s="1565"/>
      <c r="E73" s="1251"/>
    </row>
    <row r="74" spans="1:6" ht="20.100000000000001" hidden="1" customHeight="1">
      <c r="A74" s="1562"/>
      <c r="B74" s="1497" t="s">
        <v>221</v>
      </c>
      <c r="C74" s="1564"/>
      <c r="D74" s="1565"/>
      <c r="E74" s="1251"/>
    </row>
    <row r="75" spans="1:6" ht="20.100000000000001" hidden="1" customHeight="1">
      <c r="A75" s="1566"/>
      <c r="B75" s="1497" t="s">
        <v>222</v>
      </c>
      <c r="C75" s="1255"/>
      <c r="D75" s="1565"/>
      <c r="E75" s="1251"/>
      <c r="F75" s="1253"/>
    </row>
    <row r="76" spans="1:6" ht="20.100000000000001" hidden="1" customHeight="1">
      <c r="A76" s="1566"/>
      <c r="B76" s="1497" t="s">
        <v>224</v>
      </c>
      <c r="C76" s="1255"/>
      <c r="D76" s="1565"/>
      <c r="E76" s="1251"/>
    </row>
    <row r="77" spans="1:6" ht="20.100000000000001" hidden="1" customHeight="1">
      <c r="A77" s="1566"/>
      <c r="B77" s="1497" t="s">
        <v>225</v>
      </c>
      <c r="C77" s="1255"/>
      <c r="D77" s="1565"/>
      <c r="E77" s="1251"/>
    </row>
    <row r="78" spans="1:6" ht="20.100000000000001" hidden="1" customHeight="1">
      <c r="A78" s="1566"/>
      <c r="B78" s="1497" t="s">
        <v>227</v>
      </c>
      <c r="C78" s="1255"/>
      <c r="D78" s="1565"/>
      <c r="E78" s="1251"/>
    </row>
    <row r="79" spans="1:6" ht="20.100000000000001" hidden="1" customHeight="1">
      <c r="A79" s="1566"/>
      <c r="B79" s="1497" t="s">
        <v>229</v>
      </c>
      <c r="C79" s="1255"/>
      <c r="D79" s="1565"/>
      <c r="E79" s="1251"/>
    </row>
    <row r="80" spans="1:6" ht="20.100000000000001" hidden="1" customHeight="1">
      <c r="A80" s="1566"/>
      <c r="B80" s="1497" t="s">
        <v>2148</v>
      </c>
      <c r="C80" s="1567"/>
      <c r="D80" s="1565"/>
      <c r="E80" s="1251"/>
    </row>
    <row r="81" spans="1:6" ht="20.100000000000001" hidden="1" customHeight="1">
      <c r="A81" s="1566"/>
      <c r="B81" s="1497" t="s">
        <v>2179</v>
      </c>
      <c r="C81" s="1567"/>
    </row>
    <row r="82" spans="1:6" ht="20.100000000000001" hidden="1" customHeight="1">
      <c r="A82" s="1566"/>
      <c r="B82" s="1497" t="s">
        <v>2199</v>
      </c>
      <c r="C82" s="1567"/>
      <c r="D82" s="1565"/>
      <c r="E82" s="1251"/>
    </row>
    <row r="83" spans="1:6" ht="18.75" hidden="1" customHeight="1">
      <c r="A83" s="1566"/>
      <c r="B83" s="1497" t="s">
        <v>2200</v>
      </c>
      <c r="C83" s="1567"/>
      <c r="D83" s="1565"/>
      <c r="E83" s="1251"/>
    </row>
    <row r="84" spans="1:6" ht="20.100000000000001" customHeight="1" thickBot="1">
      <c r="A84" s="1568"/>
      <c r="B84" s="1569"/>
      <c r="C84" s="1569"/>
      <c r="D84" s="1570" t="s">
        <v>1181</v>
      </c>
      <c r="E84" s="1571">
        <f>SUM(E54:E83)</f>
        <v>137030000</v>
      </c>
      <c r="F84" s="1253"/>
    </row>
    <row r="85" spans="1:6" ht="27" customHeight="1" thickTop="1" thickBot="1">
      <c r="A85" s="1572"/>
      <c r="B85" s="1573"/>
      <c r="C85" s="1573"/>
      <c r="D85" s="1574" t="s">
        <v>1181</v>
      </c>
      <c r="E85" s="1575">
        <f>SUM(E84+E51)</f>
        <v>269040803</v>
      </c>
    </row>
    <row r="86" spans="1:6" ht="22.5" customHeight="1" thickTop="1"/>
    <row r="87" spans="1:6" ht="22.5" customHeight="1">
      <c r="D87" s="1576" t="s">
        <v>2253</v>
      </c>
      <c r="E87" s="1577">
        <f>SUM(E4-E51-E84)</f>
        <v>0</v>
      </c>
    </row>
  </sheetData>
  <sheetProtection selectLockedCells="1" selectUnlockedCells="1"/>
  <pageMargins left="0.39370078740157483" right="0.39370078740157483" top="0.94488188976377963" bottom="0.51181102362204722" header="0.31496062992125984" footer="0.15748031496062992"/>
  <pageSetup paperSize="9" scale="99" firstPageNumber="131" orientation="portrait" r:id="rId1"/>
  <headerFooter alignWithMargins="0">
    <oddHeader>&amp;C&amp;"Arial,Félkövér"&amp;14Vecsés Város Önkormányzat
2013. évi feladattal nem terhelt pénzmaradványa&amp;R16. sz. melléklet</oddHeader>
    <oddFooter>&amp;C- &amp;P -</oddFooter>
  </headerFooter>
  <rowBreaks count="1" manualBreakCount="1">
    <brk id="30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view="pageBreakPreview" zoomScale="110" zoomScaleSheetLayoutView="110" workbookViewId="0">
      <selection activeCell="D44" sqref="D44"/>
    </sheetView>
  </sheetViews>
  <sheetFormatPr defaultRowHeight="15.75"/>
  <cols>
    <col min="1" max="1" width="69.6640625" style="1620" customWidth="1"/>
    <col min="2" max="2" width="9" style="1620" customWidth="1"/>
    <col min="3" max="3" width="14.33203125" style="1621" customWidth="1"/>
    <col min="4" max="4" width="14.6640625" style="1621" customWidth="1"/>
    <col min="5" max="5" width="25.1640625" style="1619" customWidth="1"/>
    <col min="6" max="6" width="21.5" style="1619" customWidth="1"/>
    <col min="7" max="7" width="16.6640625" style="1619" customWidth="1"/>
    <col min="8" max="8" width="11.6640625" style="1619" customWidth="1"/>
    <col min="9" max="256" width="9.33203125" style="1619"/>
    <col min="257" max="257" width="69.6640625" style="1619" customWidth="1"/>
    <col min="258" max="258" width="9" style="1619" customWidth="1"/>
    <col min="259" max="259" width="14.33203125" style="1619" customWidth="1"/>
    <col min="260" max="260" width="14.6640625" style="1619" customWidth="1"/>
    <col min="261" max="261" width="25.1640625" style="1619" customWidth="1"/>
    <col min="262" max="262" width="21.5" style="1619" customWidth="1"/>
    <col min="263" max="263" width="16.6640625" style="1619" customWidth="1"/>
    <col min="264" max="264" width="11.6640625" style="1619" customWidth="1"/>
    <col min="265" max="512" width="9.33203125" style="1619"/>
    <col min="513" max="513" width="69.6640625" style="1619" customWidth="1"/>
    <col min="514" max="514" width="9" style="1619" customWidth="1"/>
    <col min="515" max="515" width="14.33203125" style="1619" customWidth="1"/>
    <col min="516" max="516" width="14.6640625" style="1619" customWidth="1"/>
    <col min="517" max="517" width="25.1640625" style="1619" customWidth="1"/>
    <col min="518" max="518" width="21.5" style="1619" customWidth="1"/>
    <col min="519" max="519" width="16.6640625" style="1619" customWidth="1"/>
    <col min="520" max="520" width="11.6640625" style="1619" customWidth="1"/>
    <col min="521" max="768" width="9.33203125" style="1619"/>
    <col min="769" max="769" width="69.6640625" style="1619" customWidth="1"/>
    <col min="770" max="770" width="9" style="1619" customWidth="1"/>
    <col min="771" max="771" width="14.33203125" style="1619" customWidth="1"/>
    <col min="772" max="772" width="14.6640625" style="1619" customWidth="1"/>
    <col min="773" max="773" width="25.1640625" style="1619" customWidth="1"/>
    <col min="774" max="774" width="21.5" style="1619" customWidth="1"/>
    <col min="775" max="775" width="16.6640625" style="1619" customWidth="1"/>
    <col min="776" max="776" width="11.6640625" style="1619" customWidth="1"/>
    <col min="777" max="1024" width="9.33203125" style="1619"/>
    <col min="1025" max="1025" width="69.6640625" style="1619" customWidth="1"/>
    <col min="1026" max="1026" width="9" style="1619" customWidth="1"/>
    <col min="1027" max="1027" width="14.33203125" style="1619" customWidth="1"/>
    <col min="1028" max="1028" width="14.6640625" style="1619" customWidth="1"/>
    <col min="1029" max="1029" width="25.1640625" style="1619" customWidth="1"/>
    <col min="1030" max="1030" width="21.5" style="1619" customWidth="1"/>
    <col min="1031" max="1031" width="16.6640625" style="1619" customWidth="1"/>
    <col min="1032" max="1032" width="11.6640625" style="1619" customWidth="1"/>
    <col min="1033" max="1280" width="9.33203125" style="1619"/>
    <col min="1281" max="1281" width="69.6640625" style="1619" customWidth="1"/>
    <col min="1282" max="1282" width="9" style="1619" customWidth="1"/>
    <col min="1283" max="1283" width="14.33203125" style="1619" customWidth="1"/>
    <col min="1284" max="1284" width="14.6640625" style="1619" customWidth="1"/>
    <col min="1285" max="1285" width="25.1640625" style="1619" customWidth="1"/>
    <col min="1286" max="1286" width="21.5" style="1619" customWidth="1"/>
    <col min="1287" max="1287" width="16.6640625" style="1619" customWidth="1"/>
    <col min="1288" max="1288" width="11.6640625" style="1619" customWidth="1"/>
    <col min="1289" max="1536" width="9.33203125" style="1619"/>
    <col min="1537" max="1537" width="69.6640625" style="1619" customWidth="1"/>
    <col min="1538" max="1538" width="9" style="1619" customWidth="1"/>
    <col min="1539" max="1539" width="14.33203125" style="1619" customWidth="1"/>
    <col min="1540" max="1540" width="14.6640625" style="1619" customWidth="1"/>
    <col min="1541" max="1541" width="25.1640625" style="1619" customWidth="1"/>
    <col min="1542" max="1542" width="21.5" style="1619" customWidth="1"/>
    <col min="1543" max="1543" width="16.6640625" style="1619" customWidth="1"/>
    <col min="1544" max="1544" width="11.6640625" style="1619" customWidth="1"/>
    <col min="1545" max="1792" width="9.33203125" style="1619"/>
    <col min="1793" max="1793" width="69.6640625" style="1619" customWidth="1"/>
    <col min="1794" max="1794" width="9" style="1619" customWidth="1"/>
    <col min="1795" max="1795" width="14.33203125" style="1619" customWidth="1"/>
    <col min="1796" max="1796" width="14.6640625" style="1619" customWidth="1"/>
    <col min="1797" max="1797" width="25.1640625" style="1619" customWidth="1"/>
    <col min="1798" max="1798" width="21.5" style="1619" customWidth="1"/>
    <col min="1799" max="1799" width="16.6640625" style="1619" customWidth="1"/>
    <col min="1800" max="1800" width="11.6640625" style="1619" customWidth="1"/>
    <col min="1801" max="2048" width="9.33203125" style="1619"/>
    <col min="2049" max="2049" width="69.6640625" style="1619" customWidth="1"/>
    <col min="2050" max="2050" width="9" style="1619" customWidth="1"/>
    <col min="2051" max="2051" width="14.33203125" style="1619" customWidth="1"/>
    <col min="2052" max="2052" width="14.6640625" style="1619" customWidth="1"/>
    <col min="2053" max="2053" width="25.1640625" style="1619" customWidth="1"/>
    <col min="2054" max="2054" width="21.5" style="1619" customWidth="1"/>
    <col min="2055" max="2055" width="16.6640625" style="1619" customWidth="1"/>
    <col min="2056" max="2056" width="11.6640625" style="1619" customWidth="1"/>
    <col min="2057" max="2304" width="9.33203125" style="1619"/>
    <col min="2305" max="2305" width="69.6640625" style="1619" customWidth="1"/>
    <col min="2306" max="2306" width="9" style="1619" customWidth="1"/>
    <col min="2307" max="2307" width="14.33203125" style="1619" customWidth="1"/>
    <col min="2308" max="2308" width="14.6640625" style="1619" customWidth="1"/>
    <col min="2309" max="2309" width="25.1640625" style="1619" customWidth="1"/>
    <col min="2310" max="2310" width="21.5" style="1619" customWidth="1"/>
    <col min="2311" max="2311" width="16.6640625" style="1619" customWidth="1"/>
    <col min="2312" max="2312" width="11.6640625" style="1619" customWidth="1"/>
    <col min="2313" max="2560" width="9.33203125" style="1619"/>
    <col min="2561" max="2561" width="69.6640625" style="1619" customWidth="1"/>
    <col min="2562" max="2562" width="9" style="1619" customWidth="1"/>
    <col min="2563" max="2563" width="14.33203125" style="1619" customWidth="1"/>
    <col min="2564" max="2564" width="14.6640625" style="1619" customWidth="1"/>
    <col min="2565" max="2565" width="25.1640625" style="1619" customWidth="1"/>
    <col min="2566" max="2566" width="21.5" style="1619" customWidth="1"/>
    <col min="2567" max="2567" width="16.6640625" style="1619" customWidth="1"/>
    <col min="2568" max="2568" width="11.6640625" style="1619" customWidth="1"/>
    <col min="2569" max="2816" width="9.33203125" style="1619"/>
    <col min="2817" max="2817" width="69.6640625" style="1619" customWidth="1"/>
    <col min="2818" max="2818" width="9" style="1619" customWidth="1"/>
    <col min="2819" max="2819" width="14.33203125" style="1619" customWidth="1"/>
    <col min="2820" max="2820" width="14.6640625" style="1619" customWidth="1"/>
    <col min="2821" max="2821" width="25.1640625" style="1619" customWidth="1"/>
    <col min="2822" max="2822" width="21.5" style="1619" customWidth="1"/>
    <col min="2823" max="2823" width="16.6640625" style="1619" customWidth="1"/>
    <col min="2824" max="2824" width="11.6640625" style="1619" customWidth="1"/>
    <col min="2825" max="3072" width="9.33203125" style="1619"/>
    <col min="3073" max="3073" width="69.6640625" style="1619" customWidth="1"/>
    <col min="3074" max="3074" width="9" style="1619" customWidth="1"/>
    <col min="3075" max="3075" width="14.33203125" style="1619" customWidth="1"/>
    <col min="3076" max="3076" width="14.6640625" style="1619" customWidth="1"/>
    <col min="3077" max="3077" width="25.1640625" style="1619" customWidth="1"/>
    <col min="3078" max="3078" width="21.5" style="1619" customWidth="1"/>
    <col min="3079" max="3079" width="16.6640625" style="1619" customWidth="1"/>
    <col min="3080" max="3080" width="11.6640625" style="1619" customWidth="1"/>
    <col min="3081" max="3328" width="9.33203125" style="1619"/>
    <col min="3329" max="3329" width="69.6640625" style="1619" customWidth="1"/>
    <col min="3330" max="3330" width="9" style="1619" customWidth="1"/>
    <col min="3331" max="3331" width="14.33203125" style="1619" customWidth="1"/>
    <col min="3332" max="3332" width="14.6640625" style="1619" customWidth="1"/>
    <col min="3333" max="3333" width="25.1640625" style="1619" customWidth="1"/>
    <col min="3334" max="3334" width="21.5" style="1619" customWidth="1"/>
    <col min="3335" max="3335" width="16.6640625" style="1619" customWidth="1"/>
    <col min="3336" max="3336" width="11.6640625" style="1619" customWidth="1"/>
    <col min="3337" max="3584" width="9.33203125" style="1619"/>
    <col min="3585" max="3585" width="69.6640625" style="1619" customWidth="1"/>
    <col min="3586" max="3586" width="9" style="1619" customWidth="1"/>
    <col min="3587" max="3587" width="14.33203125" style="1619" customWidth="1"/>
    <col min="3588" max="3588" width="14.6640625" style="1619" customWidth="1"/>
    <col min="3589" max="3589" width="25.1640625" style="1619" customWidth="1"/>
    <col min="3590" max="3590" width="21.5" style="1619" customWidth="1"/>
    <col min="3591" max="3591" width="16.6640625" style="1619" customWidth="1"/>
    <col min="3592" max="3592" width="11.6640625" style="1619" customWidth="1"/>
    <col min="3593" max="3840" width="9.33203125" style="1619"/>
    <col min="3841" max="3841" width="69.6640625" style="1619" customWidth="1"/>
    <col min="3842" max="3842" width="9" style="1619" customWidth="1"/>
    <col min="3843" max="3843" width="14.33203125" style="1619" customWidth="1"/>
    <col min="3844" max="3844" width="14.6640625" style="1619" customWidth="1"/>
    <col min="3845" max="3845" width="25.1640625" style="1619" customWidth="1"/>
    <col min="3846" max="3846" width="21.5" style="1619" customWidth="1"/>
    <col min="3847" max="3847" width="16.6640625" style="1619" customWidth="1"/>
    <col min="3848" max="3848" width="11.6640625" style="1619" customWidth="1"/>
    <col min="3849" max="4096" width="9.33203125" style="1619"/>
    <col min="4097" max="4097" width="69.6640625" style="1619" customWidth="1"/>
    <col min="4098" max="4098" width="9" style="1619" customWidth="1"/>
    <col min="4099" max="4099" width="14.33203125" style="1619" customWidth="1"/>
    <col min="4100" max="4100" width="14.6640625" style="1619" customWidth="1"/>
    <col min="4101" max="4101" width="25.1640625" style="1619" customWidth="1"/>
    <col min="4102" max="4102" width="21.5" style="1619" customWidth="1"/>
    <col min="4103" max="4103" width="16.6640625" style="1619" customWidth="1"/>
    <col min="4104" max="4104" width="11.6640625" style="1619" customWidth="1"/>
    <col min="4105" max="4352" width="9.33203125" style="1619"/>
    <col min="4353" max="4353" width="69.6640625" style="1619" customWidth="1"/>
    <col min="4354" max="4354" width="9" style="1619" customWidth="1"/>
    <col min="4355" max="4355" width="14.33203125" style="1619" customWidth="1"/>
    <col min="4356" max="4356" width="14.6640625" style="1619" customWidth="1"/>
    <col min="4357" max="4357" width="25.1640625" style="1619" customWidth="1"/>
    <col min="4358" max="4358" width="21.5" style="1619" customWidth="1"/>
    <col min="4359" max="4359" width="16.6640625" style="1619" customWidth="1"/>
    <col min="4360" max="4360" width="11.6640625" style="1619" customWidth="1"/>
    <col min="4361" max="4608" width="9.33203125" style="1619"/>
    <col min="4609" max="4609" width="69.6640625" style="1619" customWidth="1"/>
    <col min="4610" max="4610" width="9" style="1619" customWidth="1"/>
    <col min="4611" max="4611" width="14.33203125" style="1619" customWidth="1"/>
    <col min="4612" max="4612" width="14.6640625" style="1619" customWidth="1"/>
    <col min="4613" max="4613" width="25.1640625" style="1619" customWidth="1"/>
    <col min="4614" max="4614" width="21.5" style="1619" customWidth="1"/>
    <col min="4615" max="4615" width="16.6640625" style="1619" customWidth="1"/>
    <col min="4616" max="4616" width="11.6640625" style="1619" customWidth="1"/>
    <col min="4617" max="4864" width="9.33203125" style="1619"/>
    <col min="4865" max="4865" width="69.6640625" style="1619" customWidth="1"/>
    <col min="4866" max="4866" width="9" style="1619" customWidth="1"/>
    <col min="4867" max="4867" width="14.33203125" style="1619" customWidth="1"/>
    <col min="4868" max="4868" width="14.6640625" style="1619" customWidth="1"/>
    <col min="4869" max="4869" width="25.1640625" style="1619" customWidth="1"/>
    <col min="4870" max="4870" width="21.5" style="1619" customWidth="1"/>
    <col min="4871" max="4871" width="16.6640625" style="1619" customWidth="1"/>
    <col min="4872" max="4872" width="11.6640625" style="1619" customWidth="1"/>
    <col min="4873" max="5120" width="9.33203125" style="1619"/>
    <col min="5121" max="5121" width="69.6640625" style="1619" customWidth="1"/>
    <col min="5122" max="5122" width="9" style="1619" customWidth="1"/>
    <col min="5123" max="5123" width="14.33203125" style="1619" customWidth="1"/>
    <col min="5124" max="5124" width="14.6640625" style="1619" customWidth="1"/>
    <col min="5125" max="5125" width="25.1640625" style="1619" customWidth="1"/>
    <col min="5126" max="5126" width="21.5" style="1619" customWidth="1"/>
    <col min="5127" max="5127" width="16.6640625" style="1619" customWidth="1"/>
    <col min="5128" max="5128" width="11.6640625" style="1619" customWidth="1"/>
    <col min="5129" max="5376" width="9.33203125" style="1619"/>
    <col min="5377" max="5377" width="69.6640625" style="1619" customWidth="1"/>
    <col min="5378" max="5378" width="9" style="1619" customWidth="1"/>
    <col min="5379" max="5379" width="14.33203125" style="1619" customWidth="1"/>
    <col min="5380" max="5380" width="14.6640625" style="1619" customWidth="1"/>
    <col min="5381" max="5381" width="25.1640625" style="1619" customWidth="1"/>
    <col min="5382" max="5382" width="21.5" style="1619" customWidth="1"/>
    <col min="5383" max="5383" width="16.6640625" style="1619" customWidth="1"/>
    <col min="5384" max="5384" width="11.6640625" style="1619" customWidth="1"/>
    <col min="5385" max="5632" width="9.33203125" style="1619"/>
    <col min="5633" max="5633" width="69.6640625" style="1619" customWidth="1"/>
    <col min="5634" max="5634" width="9" style="1619" customWidth="1"/>
    <col min="5635" max="5635" width="14.33203125" style="1619" customWidth="1"/>
    <col min="5636" max="5636" width="14.6640625" style="1619" customWidth="1"/>
    <col min="5637" max="5637" width="25.1640625" style="1619" customWidth="1"/>
    <col min="5638" max="5638" width="21.5" style="1619" customWidth="1"/>
    <col min="5639" max="5639" width="16.6640625" style="1619" customWidth="1"/>
    <col min="5640" max="5640" width="11.6640625" style="1619" customWidth="1"/>
    <col min="5641" max="5888" width="9.33203125" style="1619"/>
    <col min="5889" max="5889" width="69.6640625" style="1619" customWidth="1"/>
    <col min="5890" max="5890" width="9" style="1619" customWidth="1"/>
    <col min="5891" max="5891" width="14.33203125" style="1619" customWidth="1"/>
    <col min="5892" max="5892" width="14.6640625" style="1619" customWidth="1"/>
    <col min="5893" max="5893" width="25.1640625" style="1619" customWidth="1"/>
    <col min="5894" max="5894" width="21.5" style="1619" customWidth="1"/>
    <col min="5895" max="5895" width="16.6640625" style="1619" customWidth="1"/>
    <col min="5896" max="5896" width="11.6640625" style="1619" customWidth="1"/>
    <col min="5897" max="6144" width="9.33203125" style="1619"/>
    <col min="6145" max="6145" width="69.6640625" style="1619" customWidth="1"/>
    <col min="6146" max="6146" width="9" style="1619" customWidth="1"/>
    <col min="6147" max="6147" width="14.33203125" style="1619" customWidth="1"/>
    <col min="6148" max="6148" width="14.6640625" style="1619" customWidth="1"/>
    <col min="6149" max="6149" width="25.1640625" style="1619" customWidth="1"/>
    <col min="6150" max="6150" width="21.5" style="1619" customWidth="1"/>
    <col min="6151" max="6151" width="16.6640625" style="1619" customWidth="1"/>
    <col min="6152" max="6152" width="11.6640625" style="1619" customWidth="1"/>
    <col min="6153" max="6400" width="9.33203125" style="1619"/>
    <col min="6401" max="6401" width="69.6640625" style="1619" customWidth="1"/>
    <col min="6402" max="6402" width="9" style="1619" customWidth="1"/>
    <col min="6403" max="6403" width="14.33203125" style="1619" customWidth="1"/>
    <col min="6404" max="6404" width="14.6640625" style="1619" customWidth="1"/>
    <col min="6405" max="6405" width="25.1640625" style="1619" customWidth="1"/>
    <col min="6406" max="6406" width="21.5" style="1619" customWidth="1"/>
    <col min="6407" max="6407" width="16.6640625" style="1619" customWidth="1"/>
    <col min="6408" max="6408" width="11.6640625" style="1619" customWidth="1"/>
    <col min="6409" max="6656" width="9.33203125" style="1619"/>
    <col min="6657" max="6657" width="69.6640625" style="1619" customWidth="1"/>
    <col min="6658" max="6658" width="9" style="1619" customWidth="1"/>
    <col min="6659" max="6659" width="14.33203125" style="1619" customWidth="1"/>
    <col min="6660" max="6660" width="14.6640625" style="1619" customWidth="1"/>
    <col min="6661" max="6661" width="25.1640625" style="1619" customWidth="1"/>
    <col min="6662" max="6662" width="21.5" style="1619" customWidth="1"/>
    <col min="6663" max="6663" width="16.6640625" style="1619" customWidth="1"/>
    <col min="6664" max="6664" width="11.6640625" style="1619" customWidth="1"/>
    <col min="6665" max="6912" width="9.33203125" style="1619"/>
    <col min="6913" max="6913" width="69.6640625" style="1619" customWidth="1"/>
    <col min="6914" max="6914" width="9" style="1619" customWidth="1"/>
    <col min="6915" max="6915" width="14.33203125" style="1619" customWidth="1"/>
    <col min="6916" max="6916" width="14.6640625" style="1619" customWidth="1"/>
    <col min="6917" max="6917" width="25.1640625" style="1619" customWidth="1"/>
    <col min="6918" max="6918" width="21.5" style="1619" customWidth="1"/>
    <col min="6919" max="6919" width="16.6640625" style="1619" customWidth="1"/>
    <col min="6920" max="6920" width="11.6640625" style="1619" customWidth="1"/>
    <col min="6921" max="7168" width="9.33203125" style="1619"/>
    <col min="7169" max="7169" width="69.6640625" style="1619" customWidth="1"/>
    <col min="7170" max="7170" width="9" style="1619" customWidth="1"/>
    <col min="7171" max="7171" width="14.33203125" style="1619" customWidth="1"/>
    <col min="7172" max="7172" width="14.6640625" style="1619" customWidth="1"/>
    <col min="7173" max="7173" width="25.1640625" style="1619" customWidth="1"/>
    <col min="7174" max="7174" width="21.5" style="1619" customWidth="1"/>
    <col min="7175" max="7175" width="16.6640625" style="1619" customWidth="1"/>
    <col min="7176" max="7176" width="11.6640625" style="1619" customWidth="1"/>
    <col min="7177" max="7424" width="9.33203125" style="1619"/>
    <col min="7425" max="7425" width="69.6640625" style="1619" customWidth="1"/>
    <col min="7426" max="7426" width="9" style="1619" customWidth="1"/>
    <col min="7427" max="7427" width="14.33203125" style="1619" customWidth="1"/>
    <col min="7428" max="7428" width="14.6640625" style="1619" customWidth="1"/>
    <col min="7429" max="7429" width="25.1640625" style="1619" customWidth="1"/>
    <col min="7430" max="7430" width="21.5" style="1619" customWidth="1"/>
    <col min="7431" max="7431" width="16.6640625" style="1619" customWidth="1"/>
    <col min="7432" max="7432" width="11.6640625" style="1619" customWidth="1"/>
    <col min="7433" max="7680" width="9.33203125" style="1619"/>
    <col min="7681" max="7681" width="69.6640625" style="1619" customWidth="1"/>
    <col min="7682" max="7682" width="9" style="1619" customWidth="1"/>
    <col min="7683" max="7683" width="14.33203125" style="1619" customWidth="1"/>
    <col min="7684" max="7684" width="14.6640625" style="1619" customWidth="1"/>
    <col min="7685" max="7685" width="25.1640625" style="1619" customWidth="1"/>
    <col min="7686" max="7686" width="21.5" style="1619" customWidth="1"/>
    <col min="7687" max="7687" width="16.6640625" style="1619" customWidth="1"/>
    <col min="7688" max="7688" width="11.6640625" style="1619" customWidth="1"/>
    <col min="7689" max="7936" width="9.33203125" style="1619"/>
    <col min="7937" max="7937" width="69.6640625" style="1619" customWidth="1"/>
    <col min="7938" max="7938" width="9" style="1619" customWidth="1"/>
    <col min="7939" max="7939" width="14.33203125" style="1619" customWidth="1"/>
    <col min="7940" max="7940" width="14.6640625" style="1619" customWidth="1"/>
    <col min="7941" max="7941" width="25.1640625" style="1619" customWidth="1"/>
    <col min="7942" max="7942" width="21.5" style="1619" customWidth="1"/>
    <col min="7943" max="7943" width="16.6640625" style="1619" customWidth="1"/>
    <col min="7944" max="7944" width="11.6640625" style="1619" customWidth="1"/>
    <col min="7945" max="8192" width="9.33203125" style="1619"/>
    <col min="8193" max="8193" width="69.6640625" style="1619" customWidth="1"/>
    <col min="8194" max="8194" width="9" style="1619" customWidth="1"/>
    <col min="8195" max="8195" width="14.33203125" style="1619" customWidth="1"/>
    <col min="8196" max="8196" width="14.6640625" style="1619" customWidth="1"/>
    <col min="8197" max="8197" width="25.1640625" style="1619" customWidth="1"/>
    <col min="8198" max="8198" width="21.5" style="1619" customWidth="1"/>
    <col min="8199" max="8199" width="16.6640625" style="1619" customWidth="1"/>
    <col min="8200" max="8200" width="11.6640625" style="1619" customWidth="1"/>
    <col min="8201" max="8448" width="9.33203125" style="1619"/>
    <col min="8449" max="8449" width="69.6640625" style="1619" customWidth="1"/>
    <col min="8450" max="8450" width="9" style="1619" customWidth="1"/>
    <col min="8451" max="8451" width="14.33203125" style="1619" customWidth="1"/>
    <col min="8452" max="8452" width="14.6640625" style="1619" customWidth="1"/>
    <col min="8453" max="8453" width="25.1640625" style="1619" customWidth="1"/>
    <col min="8454" max="8454" width="21.5" style="1619" customWidth="1"/>
    <col min="8455" max="8455" width="16.6640625" style="1619" customWidth="1"/>
    <col min="8456" max="8456" width="11.6640625" style="1619" customWidth="1"/>
    <col min="8457" max="8704" width="9.33203125" style="1619"/>
    <col min="8705" max="8705" width="69.6640625" style="1619" customWidth="1"/>
    <col min="8706" max="8706" width="9" style="1619" customWidth="1"/>
    <col min="8707" max="8707" width="14.33203125" style="1619" customWidth="1"/>
    <col min="8708" max="8708" width="14.6640625" style="1619" customWidth="1"/>
    <col min="8709" max="8709" width="25.1640625" style="1619" customWidth="1"/>
    <col min="8710" max="8710" width="21.5" style="1619" customWidth="1"/>
    <col min="8711" max="8711" width="16.6640625" style="1619" customWidth="1"/>
    <col min="8712" max="8712" width="11.6640625" style="1619" customWidth="1"/>
    <col min="8713" max="8960" width="9.33203125" style="1619"/>
    <col min="8961" max="8961" width="69.6640625" style="1619" customWidth="1"/>
    <col min="8962" max="8962" width="9" style="1619" customWidth="1"/>
    <col min="8963" max="8963" width="14.33203125" style="1619" customWidth="1"/>
    <col min="8964" max="8964" width="14.6640625" style="1619" customWidth="1"/>
    <col min="8965" max="8965" width="25.1640625" style="1619" customWidth="1"/>
    <col min="8966" max="8966" width="21.5" style="1619" customWidth="1"/>
    <col min="8967" max="8967" width="16.6640625" style="1619" customWidth="1"/>
    <col min="8968" max="8968" width="11.6640625" style="1619" customWidth="1"/>
    <col min="8969" max="9216" width="9.33203125" style="1619"/>
    <col min="9217" max="9217" width="69.6640625" style="1619" customWidth="1"/>
    <col min="9218" max="9218" width="9" style="1619" customWidth="1"/>
    <col min="9219" max="9219" width="14.33203125" style="1619" customWidth="1"/>
    <col min="9220" max="9220" width="14.6640625" style="1619" customWidth="1"/>
    <col min="9221" max="9221" width="25.1640625" style="1619" customWidth="1"/>
    <col min="9222" max="9222" width="21.5" style="1619" customWidth="1"/>
    <col min="9223" max="9223" width="16.6640625" style="1619" customWidth="1"/>
    <col min="9224" max="9224" width="11.6640625" style="1619" customWidth="1"/>
    <col min="9225" max="9472" width="9.33203125" style="1619"/>
    <col min="9473" max="9473" width="69.6640625" style="1619" customWidth="1"/>
    <col min="9474" max="9474" width="9" style="1619" customWidth="1"/>
    <col min="9475" max="9475" width="14.33203125" style="1619" customWidth="1"/>
    <col min="9476" max="9476" width="14.6640625" style="1619" customWidth="1"/>
    <col min="9477" max="9477" width="25.1640625" style="1619" customWidth="1"/>
    <col min="9478" max="9478" width="21.5" style="1619" customWidth="1"/>
    <col min="9479" max="9479" width="16.6640625" style="1619" customWidth="1"/>
    <col min="9480" max="9480" width="11.6640625" style="1619" customWidth="1"/>
    <col min="9481" max="9728" width="9.33203125" style="1619"/>
    <col min="9729" max="9729" width="69.6640625" style="1619" customWidth="1"/>
    <col min="9730" max="9730" width="9" style="1619" customWidth="1"/>
    <col min="9731" max="9731" width="14.33203125" style="1619" customWidth="1"/>
    <col min="9732" max="9732" width="14.6640625" style="1619" customWidth="1"/>
    <col min="9733" max="9733" width="25.1640625" style="1619" customWidth="1"/>
    <col min="9734" max="9734" width="21.5" style="1619" customWidth="1"/>
    <col min="9735" max="9735" width="16.6640625" style="1619" customWidth="1"/>
    <col min="9736" max="9736" width="11.6640625" style="1619" customWidth="1"/>
    <col min="9737" max="9984" width="9.33203125" style="1619"/>
    <col min="9985" max="9985" width="69.6640625" style="1619" customWidth="1"/>
    <col min="9986" max="9986" width="9" style="1619" customWidth="1"/>
    <col min="9987" max="9987" width="14.33203125" style="1619" customWidth="1"/>
    <col min="9988" max="9988" width="14.6640625" style="1619" customWidth="1"/>
    <col min="9989" max="9989" width="25.1640625" style="1619" customWidth="1"/>
    <col min="9990" max="9990" width="21.5" style="1619" customWidth="1"/>
    <col min="9991" max="9991" width="16.6640625" style="1619" customWidth="1"/>
    <col min="9992" max="9992" width="11.6640625" style="1619" customWidth="1"/>
    <col min="9993" max="10240" width="9.33203125" style="1619"/>
    <col min="10241" max="10241" width="69.6640625" style="1619" customWidth="1"/>
    <col min="10242" max="10242" width="9" style="1619" customWidth="1"/>
    <col min="10243" max="10243" width="14.33203125" style="1619" customWidth="1"/>
    <col min="10244" max="10244" width="14.6640625" style="1619" customWidth="1"/>
    <col min="10245" max="10245" width="25.1640625" style="1619" customWidth="1"/>
    <col min="10246" max="10246" width="21.5" style="1619" customWidth="1"/>
    <col min="10247" max="10247" width="16.6640625" style="1619" customWidth="1"/>
    <col min="10248" max="10248" width="11.6640625" style="1619" customWidth="1"/>
    <col min="10249" max="10496" width="9.33203125" style="1619"/>
    <col min="10497" max="10497" width="69.6640625" style="1619" customWidth="1"/>
    <col min="10498" max="10498" width="9" style="1619" customWidth="1"/>
    <col min="10499" max="10499" width="14.33203125" style="1619" customWidth="1"/>
    <col min="10500" max="10500" width="14.6640625" style="1619" customWidth="1"/>
    <col min="10501" max="10501" width="25.1640625" style="1619" customWidth="1"/>
    <col min="10502" max="10502" width="21.5" style="1619" customWidth="1"/>
    <col min="10503" max="10503" width="16.6640625" style="1619" customWidth="1"/>
    <col min="10504" max="10504" width="11.6640625" style="1619" customWidth="1"/>
    <col min="10505" max="10752" width="9.33203125" style="1619"/>
    <col min="10753" max="10753" width="69.6640625" style="1619" customWidth="1"/>
    <col min="10754" max="10754" width="9" style="1619" customWidth="1"/>
    <col min="10755" max="10755" width="14.33203125" style="1619" customWidth="1"/>
    <col min="10756" max="10756" width="14.6640625" style="1619" customWidth="1"/>
    <col min="10757" max="10757" width="25.1640625" style="1619" customWidth="1"/>
    <col min="10758" max="10758" width="21.5" style="1619" customWidth="1"/>
    <col min="10759" max="10759" width="16.6640625" style="1619" customWidth="1"/>
    <col min="10760" max="10760" width="11.6640625" style="1619" customWidth="1"/>
    <col min="10761" max="11008" width="9.33203125" style="1619"/>
    <col min="11009" max="11009" width="69.6640625" style="1619" customWidth="1"/>
    <col min="11010" max="11010" width="9" style="1619" customWidth="1"/>
    <col min="11011" max="11011" width="14.33203125" style="1619" customWidth="1"/>
    <col min="11012" max="11012" width="14.6640625" style="1619" customWidth="1"/>
    <col min="11013" max="11013" width="25.1640625" style="1619" customWidth="1"/>
    <col min="11014" max="11014" width="21.5" style="1619" customWidth="1"/>
    <col min="11015" max="11015" width="16.6640625" style="1619" customWidth="1"/>
    <col min="11016" max="11016" width="11.6640625" style="1619" customWidth="1"/>
    <col min="11017" max="11264" width="9.33203125" style="1619"/>
    <col min="11265" max="11265" width="69.6640625" style="1619" customWidth="1"/>
    <col min="11266" max="11266" width="9" style="1619" customWidth="1"/>
    <col min="11267" max="11267" width="14.33203125" style="1619" customWidth="1"/>
    <col min="11268" max="11268" width="14.6640625" style="1619" customWidth="1"/>
    <col min="11269" max="11269" width="25.1640625" style="1619" customWidth="1"/>
    <col min="11270" max="11270" width="21.5" style="1619" customWidth="1"/>
    <col min="11271" max="11271" width="16.6640625" style="1619" customWidth="1"/>
    <col min="11272" max="11272" width="11.6640625" style="1619" customWidth="1"/>
    <col min="11273" max="11520" width="9.33203125" style="1619"/>
    <col min="11521" max="11521" width="69.6640625" style="1619" customWidth="1"/>
    <col min="11522" max="11522" width="9" style="1619" customWidth="1"/>
    <col min="11523" max="11523" width="14.33203125" style="1619" customWidth="1"/>
    <col min="11524" max="11524" width="14.6640625" style="1619" customWidth="1"/>
    <col min="11525" max="11525" width="25.1640625" style="1619" customWidth="1"/>
    <col min="11526" max="11526" width="21.5" style="1619" customWidth="1"/>
    <col min="11527" max="11527" width="16.6640625" style="1619" customWidth="1"/>
    <col min="11528" max="11528" width="11.6640625" style="1619" customWidth="1"/>
    <col min="11529" max="11776" width="9.33203125" style="1619"/>
    <col min="11777" max="11777" width="69.6640625" style="1619" customWidth="1"/>
    <col min="11778" max="11778" width="9" style="1619" customWidth="1"/>
    <col min="11779" max="11779" width="14.33203125" style="1619" customWidth="1"/>
    <col min="11780" max="11780" width="14.6640625" style="1619" customWidth="1"/>
    <col min="11781" max="11781" width="25.1640625" style="1619" customWidth="1"/>
    <col min="11782" max="11782" width="21.5" style="1619" customWidth="1"/>
    <col min="11783" max="11783" width="16.6640625" style="1619" customWidth="1"/>
    <col min="11784" max="11784" width="11.6640625" style="1619" customWidth="1"/>
    <col min="11785" max="12032" width="9.33203125" style="1619"/>
    <col min="12033" max="12033" width="69.6640625" style="1619" customWidth="1"/>
    <col min="12034" max="12034" width="9" style="1619" customWidth="1"/>
    <col min="12035" max="12035" width="14.33203125" style="1619" customWidth="1"/>
    <col min="12036" max="12036" width="14.6640625" style="1619" customWidth="1"/>
    <col min="12037" max="12037" width="25.1640625" style="1619" customWidth="1"/>
    <col min="12038" max="12038" width="21.5" style="1619" customWidth="1"/>
    <col min="12039" max="12039" width="16.6640625" style="1619" customWidth="1"/>
    <col min="12040" max="12040" width="11.6640625" style="1619" customWidth="1"/>
    <col min="12041" max="12288" width="9.33203125" style="1619"/>
    <col min="12289" max="12289" width="69.6640625" style="1619" customWidth="1"/>
    <col min="12290" max="12290" width="9" style="1619" customWidth="1"/>
    <col min="12291" max="12291" width="14.33203125" style="1619" customWidth="1"/>
    <col min="12292" max="12292" width="14.6640625" style="1619" customWidth="1"/>
    <col min="12293" max="12293" width="25.1640625" style="1619" customWidth="1"/>
    <col min="12294" max="12294" width="21.5" style="1619" customWidth="1"/>
    <col min="12295" max="12295" width="16.6640625" style="1619" customWidth="1"/>
    <col min="12296" max="12296" width="11.6640625" style="1619" customWidth="1"/>
    <col min="12297" max="12544" width="9.33203125" style="1619"/>
    <col min="12545" max="12545" width="69.6640625" style="1619" customWidth="1"/>
    <col min="12546" max="12546" width="9" style="1619" customWidth="1"/>
    <col min="12547" max="12547" width="14.33203125" style="1619" customWidth="1"/>
    <col min="12548" max="12548" width="14.6640625" style="1619" customWidth="1"/>
    <col min="12549" max="12549" width="25.1640625" style="1619" customWidth="1"/>
    <col min="12550" max="12550" width="21.5" style="1619" customWidth="1"/>
    <col min="12551" max="12551" width="16.6640625" style="1619" customWidth="1"/>
    <col min="12552" max="12552" width="11.6640625" style="1619" customWidth="1"/>
    <col min="12553" max="12800" width="9.33203125" style="1619"/>
    <col min="12801" max="12801" width="69.6640625" style="1619" customWidth="1"/>
    <col min="12802" max="12802" width="9" style="1619" customWidth="1"/>
    <col min="12803" max="12803" width="14.33203125" style="1619" customWidth="1"/>
    <col min="12804" max="12804" width="14.6640625" style="1619" customWidth="1"/>
    <col min="12805" max="12805" width="25.1640625" style="1619" customWidth="1"/>
    <col min="12806" max="12806" width="21.5" style="1619" customWidth="1"/>
    <col min="12807" max="12807" width="16.6640625" style="1619" customWidth="1"/>
    <col min="12808" max="12808" width="11.6640625" style="1619" customWidth="1"/>
    <col min="12809" max="13056" width="9.33203125" style="1619"/>
    <col min="13057" max="13057" width="69.6640625" style="1619" customWidth="1"/>
    <col min="13058" max="13058" width="9" style="1619" customWidth="1"/>
    <col min="13059" max="13059" width="14.33203125" style="1619" customWidth="1"/>
    <col min="13060" max="13060" width="14.6640625" style="1619" customWidth="1"/>
    <col min="13061" max="13061" width="25.1640625" style="1619" customWidth="1"/>
    <col min="13062" max="13062" width="21.5" style="1619" customWidth="1"/>
    <col min="13063" max="13063" width="16.6640625" style="1619" customWidth="1"/>
    <col min="13064" max="13064" width="11.6640625" style="1619" customWidth="1"/>
    <col min="13065" max="13312" width="9.33203125" style="1619"/>
    <col min="13313" max="13313" width="69.6640625" style="1619" customWidth="1"/>
    <col min="13314" max="13314" width="9" style="1619" customWidth="1"/>
    <col min="13315" max="13315" width="14.33203125" style="1619" customWidth="1"/>
    <col min="13316" max="13316" width="14.6640625" style="1619" customWidth="1"/>
    <col min="13317" max="13317" width="25.1640625" style="1619" customWidth="1"/>
    <col min="13318" max="13318" width="21.5" style="1619" customWidth="1"/>
    <col min="13319" max="13319" width="16.6640625" style="1619" customWidth="1"/>
    <col min="13320" max="13320" width="11.6640625" style="1619" customWidth="1"/>
    <col min="13321" max="13568" width="9.33203125" style="1619"/>
    <col min="13569" max="13569" width="69.6640625" style="1619" customWidth="1"/>
    <col min="13570" max="13570" width="9" style="1619" customWidth="1"/>
    <col min="13571" max="13571" width="14.33203125" style="1619" customWidth="1"/>
    <col min="13572" max="13572" width="14.6640625" style="1619" customWidth="1"/>
    <col min="13573" max="13573" width="25.1640625" style="1619" customWidth="1"/>
    <col min="13574" max="13574" width="21.5" style="1619" customWidth="1"/>
    <col min="13575" max="13575" width="16.6640625" style="1619" customWidth="1"/>
    <col min="13576" max="13576" width="11.6640625" style="1619" customWidth="1"/>
    <col min="13577" max="13824" width="9.33203125" style="1619"/>
    <col min="13825" max="13825" width="69.6640625" style="1619" customWidth="1"/>
    <col min="13826" max="13826" width="9" style="1619" customWidth="1"/>
    <col min="13827" max="13827" width="14.33203125" style="1619" customWidth="1"/>
    <col min="13828" max="13828" width="14.6640625" style="1619" customWidth="1"/>
    <col min="13829" max="13829" width="25.1640625" style="1619" customWidth="1"/>
    <col min="13830" max="13830" width="21.5" style="1619" customWidth="1"/>
    <col min="13831" max="13831" width="16.6640625" style="1619" customWidth="1"/>
    <col min="13832" max="13832" width="11.6640625" style="1619" customWidth="1"/>
    <col min="13833" max="14080" width="9.33203125" style="1619"/>
    <col min="14081" max="14081" width="69.6640625" style="1619" customWidth="1"/>
    <col min="14082" max="14082" width="9" style="1619" customWidth="1"/>
    <col min="14083" max="14083" width="14.33203125" style="1619" customWidth="1"/>
    <col min="14084" max="14084" width="14.6640625" style="1619" customWidth="1"/>
    <col min="14085" max="14085" width="25.1640625" style="1619" customWidth="1"/>
    <col min="14086" max="14086" width="21.5" style="1619" customWidth="1"/>
    <col min="14087" max="14087" width="16.6640625" style="1619" customWidth="1"/>
    <col min="14088" max="14088" width="11.6640625" style="1619" customWidth="1"/>
    <col min="14089" max="14336" width="9.33203125" style="1619"/>
    <col min="14337" max="14337" width="69.6640625" style="1619" customWidth="1"/>
    <col min="14338" max="14338" width="9" style="1619" customWidth="1"/>
    <col min="14339" max="14339" width="14.33203125" style="1619" customWidth="1"/>
    <col min="14340" max="14340" width="14.6640625" style="1619" customWidth="1"/>
    <col min="14341" max="14341" width="25.1640625" style="1619" customWidth="1"/>
    <col min="14342" max="14342" width="21.5" style="1619" customWidth="1"/>
    <col min="14343" max="14343" width="16.6640625" style="1619" customWidth="1"/>
    <col min="14344" max="14344" width="11.6640625" style="1619" customWidth="1"/>
    <col min="14345" max="14592" width="9.33203125" style="1619"/>
    <col min="14593" max="14593" width="69.6640625" style="1619" customWidth="1"/>
    <col min="14594" max="14594" width="9" style="1619" customWidth="1"/>
    <col min="14595" max="14595" width="14.33203125" style="1619" customWidth="1"/>
    <col min="14596" max="14596" width="14.6640625" style="1619" customWidth="1"/>
    <col min="14597" max="14597" width="25.1640625" style="1619" customWidth="1"/>
    <col min="14598" max="14598" width="21.5" style="1619" customWidth="1"/>
    <col min="14599" max="14599" width="16.6640625" style="1619" customWidth="1"/>
    <col min="14600" max="14600" width="11.6640625" style="1619" customWidth="1"/>
    <col min="14601" max="14848" width="9.33203125" style="1619"/>
    <col min="14849" max="14849" width="69.6640625" style="1619" customWidth="1"/>
    <col min="14850" max="14850" width="9" style="1619" customWidth="1"/>
    <col min="14851" max="14851" width="14.33203125" style="1619" customWidth="1"/>
    <col min="14852" max="14852" width="14.6640625" style="1619" customWidth="1"/>
    <col min="14853" max="14853" width="25.1640625" style="1619" customWidth="1"/>
    <col min="14854" max="14854" width="21.5" style="1619" customWidth="1"/>
    <col min="14855" max="14855" width="16.6640625" style="1619" customWidth="1"/>
    <col min="14856" max="14856" width="11.6640625" style="1619" customWidth="1"/>
    <col min="14857" max="15104" width="9.33203125" style="1619"/>
    <col min="15105" max="15105" width="69.6640625" style="1619" customWidth="1"/>
    <col min="15106" max="15106" width="9" style="1619" customWidth="1"/>
    <col min="15107" max="15107" width="14.33203125" style="1619" customWidth="1"/>
    <col min="15108" max="15108" width="14.6640625" style="1619" customWidth="1"/>
    <col min="15109" max="15109" width="25.1640625" style="1619" customWidth="1"/>
    <col min="15110" max="15110" width="21.5" style="1619" customWidth="1"/>
    <col min="15111" max="15111" width="16.6640625" style="1619" customWidth="1"/>
    <col min="15112" max="15112" width="11.6640625" style="1619" customWidth="1"/>
    <col min="15113" max="15360" width="9.33203125" style="1619"/>
    <col min="15361" max="15361" width="69.6640625" style="1619" customWidth="1"/>
    <col min="15362" max="15362" width="9" style="1619" customWidth="1"/>
    <col min="15363" max="15363" width="14.33203125" style="1619" customWidth="1"/>
    <col min="15364" max="15364" width="14.6640625" style="1619" customWidth="1"/>
    <col min="15365" max="15365" width="25.1640625" style="1619" customWidth="1"/>
    <col min="15366" max="15366" width="21.5" style="1619" customWidth="1"/>
    <col min="15367" max="15367" width="16.6640625" style="1619" customWidth="1"/>
    <col min="15368" max="15368" width="11.6640625" style="1619" customWidth="1"/>
    <col min="15369" max="15616" width="9.33203125" style="1619"/>
    <col min="15617" max="15617" width="69.6640625" style="1619" customWidth="1"/>
    <col min="15618" max="15618" width="9" style="1619" customWidth="1"/>
    <col min="15619" max="15619" width="14.33203125" style="1619" customWidth="1"/>
    <col min="15620" max="15620" width="14.6640625" style="1619" customWidth="1"/>
    <col min="15621" max="15621" width="25.1640625" style="1619" customWidth="1"/>
    <col min="15622" max="15622" width="21.5" style="1619" customWidth="1"/>
    <col min="15623" max="15623" width="16.6640625" style="1619" customWidth="1"/>
    <col min="15624" max="15624" width="11.6640625" style="1619" customWidth="1"/>
    <col min="15625" max="15872" width="9.33203125" style="1619"/>
    <col min="15873" max="15873" width="69.6640625" style="1619" customWidth="1"/>
    <col min="15874" max="15874" width="9" style="1619" customWidth="1"/>
    <col min="15875" max="15875" width="14.33203125" style="1619" customWidth="1"/>
    <col min="15876" max="15876" width="14.6640625" style="1619" customWidth="1"/>
    <col min="15877" max="15877" width="25.1640625" style="1619" customWidth="1"/>
    <col min="15878" max="15878" width="21.5" style="1619" customWidth="1"/>
    <col min="15879" max="15879" width="16.6640625" style="1619" customWidth="1"/>
    <col min="15880" max="15880" width="11.6640625" style="1619" customWidth="1"/>
    <col min="15881" max="16128" width="9.33203125" style="1619"/>
    <col min="16129" max="16129" width="69.6640625" style="1619" customWidth="1"/>
    <col min="16130" max="16130" width="9" style="1619" customWidth="1"/>
    <col min="16131" max="16131" width="14.33203125" style="1619" customWidth="1"/>
    <col min="16132" max="16132" width="14.6640625" style="1619" customWidth="1"/>
    <col min="16133" max="16133" width="25.1640625" style="1619" customWidth="1"/>
    <col min="16134" max="16134" width="21.5" style="1619" customWidth="1"/>
    <col min="16135" max="16135" width="16.6640625" style="1619" customWidth="1"/>
    <col min="16136" max="16136" width="11.6640625" style="1619" customWidth="1"/>
    <col min="16137" max="16384" width="9.33203125" style="1619"/>
  </cols>
  <sheetData>
    <row r="1" spans="1:8" ht="75.75" customHeight="1">
      <c r="A1" s="2006" t="s">
        <v>2454</v>
      </c>
      <c r="B1" s="2006"/>
      <c r="C1" s="2006"/>
      <c r="D1" s="2006"/>
    </row>
    <row r="2" spans="1:8" ht="16.5" thickBot="1">
      <c r="D2" s="1622" t="s">
        <v>2335</v>
      </c>
    </row>
    <row r="3" spans="1:8" ht="15.95" customHeight="1" thickBot="1">
      <c r="A3" s="2007" t="s">
        <v>2336</v>
      </c>
      <c r="B3" s="2008" t="s">
        <v>2337</v>
      </c>
      <c r="C3" s="2009" t="s">
        <v>2338</v>
      </c>
      <c r="D3" s="2010" t="s">
        <v>2339</v>
      </c>
      <c r="E3" s="1619" t="s">
        <v>2340</v>
      </c>
      <c r="F3" s="1623" t="s">
        <v>1811</v>
      </c>
      <c r="G3" s="1623" t="s">
        <v>2341</v>
      </c>
    </row>
    <row r="4" spans="1:8" ht="16.5" thickBot="1">
      <c r="A4" s="2007"/>
      <c r="B4" s="2008"/>
      <c r="C4" s="2009"/>
      <c r="D4" s="2010"/>
    </row>
    <row r="5" spans="1:8">
      <c r="A5" s="1624" t="s">
        <v>2342</v>
      </c>
      <c r="B5" s="1625">
        <v>1</v>
      </c>
      <c r="C5" s="1626">
        <f>C6+C11</f>
        <v>83571</v>
      </c>
      <c r="D5" s="1626">
        <f>D6+D11</f>
        <v>2956</v>
      </c>
      <c r="E5" s="1627">
        <v>2956</v>
      </c>
      <c r="F5" s="1627">
        <f>SUM(E5-D5)</f>
        <v>0</v>
      </c>
      <c r="G5" s="1627">
        <v>0</v>
      </c>
    </row>
    <row r="6" spans="1:8">
      <c r="A6" s="1628" t="s">
        <v>2343</v>
      </c>
      <c r="B6" s="1629">
        <v>2</v>
      </c>
      <c r="C6" s="1630">
        <f>C7+C10</f>
        <v>21283</v>
      </c>
      <c r="D6" s="1630">
        <f>D7+D10</f>
        <v>1895</v>
      </c>
      <c r="E6" s="1627"/>
    </row>
    <row r="7" spans="1:8">
      <c r="A7" s="1631" t="s">
        <v>2344</v>
      </c>
      <c r="B7" s="1632">
        <v>3</v>
      </c>
      <c r="C7" s="1633">
        <f>C8+C9</f>
        <v>0</v>
      </c>
      <c r="D7" s="1633">
        <f>D8+D9</f>
        <v>0</v>
      </c>
      <c r="E7" s="1627"/>
    </row>
    <row r="8" spans="1:8">
      <c r="A8" s="1634" t="s">
        <v>2345</v>
      </c>
      <c r="B8" s="1632" t="s">
        <v>21</v>
      </c>
      <c r="C8" s="1633"/>
      <c r="D8" s="1633"/>
      <c r="E8" s="1627"/>
    </row>
    <row r="9" spans="1:8">
      <c r="A9" s="1634" t="s">
        <v>2346</v>
      </c>
      <c r="B9" s="1632" t="s">
        <v>23</v>
      </c>
      <c r="C9" s="1633"/>
      <c r="D9" s="1633"/>
      <c r="E9" s="1627"/>
    </row>
    <row r="10" spans="1:8">
      <c r="A10" s="1631" t="s">
        <v>2347</v>
      </c>
      <c r="B10" s="1632">
        <v>4</v>
      </c>
      <c r="C10" s="1633">
        <v>21283</v>
      </c>
      <c r="D10" s="1633">
        <v>1895</v>
      </c>
      <c r="E10" s="1627"/>
    </row>
    <row r="11" spans="1:8" ht="16.5" thickBot="1">
      <c r="A11" s="1635" t="s">
        <v>2348</v>
      </c>
      <c r="B11" s="1636">
        <v>5</v>
      </c>
      <c r="C11" s="1637">
        <v>62288</v>
      </c>
      <c r="D11" s="1637">
        <v>1061</v>
      </c>
    </row>
    <row r="12" spans="1:8" ht="16.5" thickBot="1">
      <c r="A12" s="1638" t="s">
        <v>2349</v>
      </c>
      <c r="B12" s="1639">
        <v>6</v>
      </c>
      <c r="C12" s="1640">
        <f>C13+C26+C35+C37+C39+C46+C53</f>
        <v>12595871</v>
      </c>
      <c r="D12" s="1640">
        <f>D13+D26+D35+D37+D39+D46+D53</f>
        <v>10734457</v>
      </c>
      <c r="E12" s="1627">
        <v>10734457</v>
      </c>
      <c r="F12" s="1627">
        <f>SUM(E12-D12)</f>
        <v>0</v>
      </c>
      <c r="G12" s="1627"/>
      <c r="H12" s="1627">
        <f>SUM(F12-G12)</f>
        <v>0</v>
      </c>
    </row>
    <row r="13" spans="1:8" ht="16.5" thickBot="1">
      <c r="A13" s="1638" t="s">
        <v>2350</v>
      </c>
      <c r="B13" s="1639">
        <v>7</v>
      </c>
      <c r="C13" s="1640">
        <f>C14+C25</f>
        <v>11666642</v>
      </c>
      <c r="D13" s="1640">
        <f>D14+D25</f>
        <v>10363033</v>
      </c>
      <c r="E13" s="1627">
        <v>10363033</v>
      </c>
      <c r="F13" s="1627">
        <f>SUM(E13-D13)</f>
        <v>0</v>
      </c>
      <c r="G13" s="1627"/>
    </row>
    <row r="14" spans="1:8">
      <c r="A14" s="1628" t="s">
        <v>2351</v>
      </c>
      <c r="B14" s="1629">
        <v>8</v>
      </c>
      <c r="C14" s="1641">
        <f>C15+C24</f>
        <v>11156452</v>
      </c>
      <c r="D14" s="1641">
        <f>D15+D24</f>
        <v>9871604</v>
      </c>
      <c r="E14" s="1627"/>
      <c r="F14" s="1627"/>
      <c r="G14" s="1627"/>
    </row>
    <row r="15" spans="1:8">
      <c r="A15" s="1631" t="s">
        <v>2352</v>
      </c>
      <c r="B15" s="1632">
        <v>9</v>
      </c>
      <c r="C15" s="1642">
        <f>C16+C21</f>
        <v>7610129</v>
      </c>
      <c r="D15" s="1642">
        <f>D16+D21</f>
        <v>6601509</v>
      </c>
      <c r="E15" s="1627"/>
      <c r="F15" s="1627"/>
      <c r="G15" s="1627"/>
    </row>
    <row r="16" spans="1:8">
      <c r="A16" s="1634" t="s">
        <v>2345</v>
      </c>
      <c r="B16" s="1632" t="s">
        <v>2353</v>
      </c>
      <c r="C16" s="1642">
        <f>C17+C18+C19+C20</f>
        <v>7610129</v>
      </c>
      <c r="D16" s="1642">
        <f>D17+D18+D19+D20</f>
        <v>6601509</v>
      </c>
      <c r="E16" s="1627"/>
      <c r="F16" s="1627"/>
      <c r="G16" s="1627"/>
    </row>
    <row r="17" spans="1:8">
      <c r="A17" s="1634" t="s">
        <v>2354</v>
      </c>
      <c r="B17" s="1643" t="s">
        <v>2355</v>
      </c>
      <c r="C17" s="1642">
        <v>7222554</v>
      </c>
      <c r="D17" s="1642">
        <v>6239022</v>
      </c>
      <c r="E17" s="1627"/>
      <c r="F17" s="1627"/>
      <c r="G17" s="1627"/>
    </row>
    <row r="18" spans="1:8">
      <c r="A18" s="1634" t="s">
        <v>2356</v>
      </c>
      <c r="B18" s="1644" t="s">
        <v>2357</v>
      </c>
      <c r="C18" s="1642">
        <v>243470</v>
      </c>
      <c r="D18" s="1642">
        <v>243470</v>
      </c>
      <c r="E18" s="1627"/>
      <c r="F18" s="1627"/>
      <c r="G18" s="1627"/>
    </row>
    <row r="19" spans="1:8">
      <c r="A19" s="1634" t="s">
        <v>2358</v>
      </c>
      <c r="B19" s="1644" t="s">
        <v>2359</v>
      </c>
      <c r="C19" s="1642"/>
      <c r="D19" s="1642"/>
      <c r="E19" s="1627"/>
      <c r="F19" s="1627"/>
      <c r="G19" s="1627"/>
    </row>
    <row r="20" spans="1:8" ht="32.25" customHeight="1">
      <c r="A20" s="1645" t="s">
        <v>2360</v>
      </c>
      <c r="B20" s="1644" t="s">
        <v>2361</v>
      </c>
      <c r="C20" s="1642">
        <v>144105</v>
      </c>
      <c r="D20" s="1642">
        <v>119017</v>
      </c>
      <c r="E20" s="1627"/>
      <c r="F20" s="1627"/>
      <c r="G20" s="1627"/>
    </row>
    <row r="21" spans="1:8">
      <c r="A21" s="1634" t="s">
        <v>2346</v>
      </c>
      <c r="B21" s="1632" t="s">
        <v>2362</v>
      </c>
      <c r="C21" s="1642">
        <f>C22+C23</f>
        <v>0</v>
      </c>
      <c r="D21" s="1642">
        <f>D22+D23</f>
        <v>0</v>
      </c>
      <c r="E21" s="1627"/>
      <c r="F21" s="1627"/>
      <c r="G21" s="1627"/>
    </row>
    <row r="22" spans="1:8">
      <c r="A22" s="1634" t="s">
        <v>2363</v>
      </c>
      <c r="B22" s="1643" t="s">
        <v>2364</v>
      </c>
      <c r="C22" s="1642"/>
      <c r="D22" s="1642"/>
      <c r="E22" s="1627"/>
      <c r="F22" s="1627"/>
      <c r="G22" s="1627"/>
    </row>
    <row r="23" spans="1:8">
      <c r="A23" s="1634" t="s">
        <v>2365</v>
      </c>
      <c r="B23" s="1644" t="s">
        <v>2366</v>
      </c>
      <c r="C23" s="1642"/>
      <c r="D23" s="1642"/>
      <c r="E23" s="1627"/>
      <c r="F23" s="1627"/>
      <c r="G23" s="1627"/>
    </row>
    <row r="24" spans="1:8">
      <c r="A24" s="1631" t="s">
        <v>2367</v>
      </c>
      <c r="B24" s="1632">
        <v>10</v>
      </c>
      <c r="C24" s="1642">
        <v>3546323</v>
      </c>
      <c r="D24" s="1642">
        <v>3270095</v>
      </c>
      <c r="E24" s="1627"/>
      <c r="F24" s="1627"/>
      <c r="G24" s="1627"/>
    </row>
    <row r="25" spans="1:8" ht="16.5" thickBot="1">
      <c r="A25" s="1635" t="s">
        <v>2348</v>
      </c>
      <c r="B25" s="1636">
        <v>11</v>
      </c>
      <c r="C25" s="1637">
        <v>510190</v>
      </c>
      <c r="D25" s="1637">
        <v>491429</v>
      </c>
      <c r="E25" s="1627"/>
      <c r="F25" s="1627"/>
      <c r="G25" s="1627"/>
    </row>
    <row r="26" spans="1:8" ht="16.5" thickBot="1">
      <c r="A26" s="1646" t="s">
        <v>2368</v>
      </c>
      <c r="B26" s="1639">
        <v>12</v>
      </c>
      <c r="C26" s="1640">
        <f>C27+C34</f>
        <v>848519</v>
      </c>
      <c r="D26" s="1640">
        <f>D27+D34</f>
        <v>329540</v>
      </c>
      <c r="E26" s="1627">
        <v>329540</v>
      </c>
      <c r="F26" s="1627">
        <f>SUM(E26-D26)</f>
        <v>0</v>
      </c>
      <c r="G26" s="1627">
        <v>0</v>
      </c>
      <c r="H26" s="1627">
        <f>SUM(F26-G26)</f>
        <v>0</v>
      </c>
    </row>
    <row r="27" spans="1:8">
      <c r="A27" s="1628" t="s">
        <v>2369</v>
      </c>
      <c r="B27" s="1629">
        <v>13</v>
      </c>
      <c r="C27" s="1630">
        <f>C28+C33</f>
        <v>320326</v>
      </c>
      <c r="D27" s="1641">
        <f>D28+D33</f>
        <v>44846</v>
      </c>
      <c r="E27" s="1627"/>
      <c r="F27" s="1627"/>
      <c r="G27" s="1627"/>
    </row>
    <row r="28" spans="1:8">
      <c r="A28" s="1631" t="s">
        <v>2370</v>
      </c>
      <c r="B28" s="1632">
        <v>14</v>
      </c>
      <c r="C28" s="1633">
        <f>C29+C30</f>
        <v>0</v>
      </c>
      <c r="D28" s="1642">
        <f>D29+D30</f>
        <v>0</v>
      </c>
      <c r="E28" s="1627"/>
      <c r="F28" s="1627"/>
      <c r="G28" s="1627"/>
    </row>
    <row r="29" spans="1:8">
      <c r="A29" s="1634" t="s">
        <v>2345</v>
      </c>
      <c r="B29" s="1632" t="s">
        <v>2371</v>
      </c>
      <c r="C29" s="1642"/>
      <c r="D29" s="1642"/>
      <c r="E29" s="1627"/>
      <c r="F29" s="1627"/>
      <c r="G29" s="1627"/>
    </row>
    <row r="30" spans="1:8">
      <c r="A30" s="1634" t="s">
        <v>2346</v>
      </c>
      <c r="B30" s="1632" t="s">
        <v>2372</v>
      </c>
      <c r="C30" s="1642">
        <f>C31+C32</f>
        <v>0</v>
      </c>
      <c r="D30" s="1642">
        <f>D31+D32</f>
        <v>0</v>
      </c>
      <c r="E30" s="1627"/>
      <c r="F30" s="1627"/>
      <c r="G30" s="1627"/>
    </row>
    <row r="31" spans="1:8">
      <c r="A31" s="1634" t="s">
        <v>2363</v>
      </c>
      <c r="B31" s="1643" t="s">
        <v>2373</v>
      </c>
      <c r="C31" s="1642"/>
      <c r="D31" s="1642"/>
      <c r="E31" s="1627"/>
      <c r="F31" s="1627"/>
      <c r="G31" s="1627"/>
    </row>
    <row r="32" spans="1:8">
      <c r="A32" s="1634" t="s">
        <v>2365</v>
      </c>
      <c r="B32" s="1644" t="s">
        <v>2374</v>
      </c>
      <c r="C32" s="1642"/>
      <c r="D32" s="1642"/>
      <c r="E32" s="1627"/>
      <c r="F32" s="1627"/>
      <c r="G32" s="1627"/>
    </row>
    <row r="33" spans="1:16">
      <c r="A33" s="1631" t="s">
        <v>2347</v>
      </c>
      <c r="B33" s="1632">
        <v>15</v>
      </c>
      <c r="C33" s="1633">
        <v>320326</v>
      </c>
      <c r="D33" s="1642">
        <v>44846</v>
      </c>
      <c r="E33" s="1627"/>
      <c r="F33" s="1627"/>
      <c r="G33" s="1627"/>
    </row>
    <row r="34" spans="1:16" ht="16.5" thickBot="1">
      <c r="A34" s="1635" t="s">
        <v>2348</v>
      </c>
      <c r="B34" s="1636">
        <v>16</v>
      </c>
      <c r="C34" s="1637">
        <v>528193</v>
      </c>
      <c r="D34" s="1637">
        <v>284694</v>
      </c>
      <c r="E34" s="1627"/>
      <c r="F34" s="1627"/>
      <c r="G34" s="1627"/>
    </row>
    <row r="35" spans="1:16">
      <c r="A35" s="1647" t="s">
        <v>2375</v>
      </c>
      <c r="B35" s="1648">
        <v>17</v>
      </c>
      <c r="C35" s="1649">
        <f>C36</f>
        <v>52713</v>
      </c>
      <c r="D35" s="1649">
        <f>D36</f>
        <v>13887</v>
      </c>
      <c r="E35" s="1627">
        <v>13887</v>
      </c>
      <c r="F35" s="1627">
        <f>SUM(E35-D35)</f>
        <v>0</v>
      </c>
      <c r="G35" s="1627"/>
    </row>
    <row r="36" spans="1:16" ht="16.5" thickBot="1">
      <c r="A36" s="1635" t="s">
        <v>2348</v>
      </c>
      <c r="B36" s="1636">
        <v>18</v>
      </c>
      <c r="C36" s="1637">
        <v>52713</v>
      </c>
      <c r="D36" s="1637">
        <v>13887</v>
      </c>
      <c r="E36" s="1627"/>
      <c r="G36" s="1627"/>
    </row>
    <row r="37" spans="1:16" ht="16.5" thickBot="1">
      <c r="A37" s="1646" t="s">
        <v>2376</v>
      </c>
      <c r="B37" s="1639">
        <v>19</v>
      </c>
      <c r="C37" s="1640">
        <f>C38</f>
        <v>0</v>
      </c>
      <c r="D37" s="1640">
        <f>D38</f>
        <v>0</v>
      </c>
      <c r="E37" s="1627"/>
      <c r="G37" s="1627"/>
    </row>
    <row r="38" spans="1:16" ht="16.5" thickBot="1">
      <c r="A38" s="1635" t="s">
        <v>2348</v>
      </c>
      <c r="B38" s="1636">
        <v>20</v>
      </c>
      <c r="C38" s="1637">
        <v>0</v>
      </c>
      <c r="D38" s="1637">
        <v>0</v>
      </c>
      <c r="E38" s="1627"/>
      <c r="G38" s="1627"/>
    </row>
    <row r="39" spans="1:16" ht="16.5" thickBot="1">
      <c r="A39" s="1646" t="s">
        <v>2377</v>
      </c>
      <c r="B39" s="1639">
        <v>21</v>
      </c>
      <c r="C39" s="1640">
        <f>C40+C45</f>
        <v>27997</v>
      </c>
      <c r="D39" s="1640">
        <f>D40+D45</f>
        <v>27997</v>
      </c>
      <c r="E39" s="1627">
        <v>27997</v>
      </c>
      <c r="F39" s="1627">
        <f>SUM(E39-D39)</f>
        <v>0</v>
      </c>
      <c r="G39" s="1627">
        <v>0</v>
      </c>
    </row>
    <row r="40" spans="1:16">
      <c r="A40" s="1628" t="s">
        <v>2378</v>
      </c>
      <c r="B40" s="1629">
        <v>22</v>
      </c>
      <c r="C40" s="1630">
        <f>SUM(C41:C44)</f>
        <v>83</v>
      </c>
      <c r="D40" s="1630">
        <f>SUM(D41:D44)</f>
        <v>83</v>
      </c>
      <c r="E40" s="1627"/>
      <c r="G40" s="1627"/>
    </row>
    <row r="41" spans="1:16">
      <c r="A41" s="1631" t="s">
        <v>2379</v>
      </c>
      <c r="B41" s="1632">
        <v>23</v>
      </c>
      <c r="C41" s="1633">
        <f>C42+C43</f>
        <v>0</v>
      </c>
      <c r="D41" s="1642">
        <f>D42+D43</f>
        <v>0</v>
      </c>
      <c r="E41" s="1627"/>
      <c r="G41" s="1627"/>
      <c r="P41" s="1650"/>
    </row>
    <row r="42" spans="1:16">
      <c r="A42" s="1634" t="s">
        <v>2345</v>
      </c>
      <c r="B42" s="1632" t="s">
        <v>2380</v>
      </c>
      <c r="C42" s="1633"/>
      <c r="D42" s="1633"/>
      <c r="E42" s="1627"/>
      <c r="G42" s="1627"/>
    </row>
    <row r="43" spans="1:16">
      <c r="A43" s="1634" t="s">
        <v>2346</v>
      </c>
      <c r="B43" s="1632" t="s">
        <v>2381</v>
      </c>
      <c r="C43" s="1633"/>
      <c r="D43" s="1633"/>
      <c r="E43" s="1627"/>
      <c r="G43" s="1627"/>
    </row>
    <row r="44" spans="1:16">
      <c r="A44" s="1631" t="s">
        <v>2347</v>
      </c>
      <c r="B44" s="1632">
        <v>24</v>
      </c>
      <c r="C44" s="1633">
        <v>83</v>
      </c>
      <c r="D44" s="1633">
        <v>83</v>
      </c>
      <c r="E44" s="1627"/>
      <c r="G44" s="1627"/>
    </row>
    <row r="45" spans="1:16" ht="16.5" thickBot="1">
      <c r="A45" s="1635" t="s">
        <v>2348</v>
      </c>
      <c r="B45" s="1636">
        <v>25</v>
      </c>
      <c r="C45" s="1637">
        <v>27914</v>
      </c>
      <c r="D45" s="1637">
        <v>27914</v>
      </c>
      <c r="E45" s="1627"/>
      <c r="G45" s="1627"/>
    </row>
    <row r="46" spans="1:16" ht="16.5" thickBot="1">
      <c r="A46" s="1646" t="s">
        <v>2382</v>
      </c>
      <c r="B46" s="1639">
        <v>26</v>
      </c>
      <c r="C46" s="1640">
        <f>C47+C52</f>
        <v>0</v>
      </c>
      <c r="D46" s="1640">
        <f>D47+D52</f>
        <v>0</v>
      </c>
      <c r="E46" s="1627"/>
      <c r="G46" s="1627"/>
    </row>
    <row r="47" spans="1:16">
      <c r="A47" s="1628" t="s">
        <v>2383</v>
      </c>
      <c r="B47" s="1629">
        <v>27</v>
      </c>
      <c r="C47" s="1630">
        <f>C48+C51</f>
        <v>0</v>
      </c>
      <c r="D47" s="1630">
        <f>D48+D51</f>
        <v>0</v>
      </c>
      <c r="E47" s="1627"/>
      <c r="G47" s="1627"/>
    </row>
    <row r="48" spans="1:16">
      <c r="A48" s="1631" t="s">
        <v>2384</v>
      </c>
      <c r="B48" s="1632">
        <v>28</v>
      </c>
      <c r="C48" s="1633">
        <f>C49+C50</f>
        <v>0</v>
      </c>
      <c r="D48" s="1633">
        <f>D49+D50</f>
        <v>0</v>
      </c>
      <c r="E48" s="1627"/>
      <c r="G48" s="1627"/>
    </row>
    <row r="49" spans="1:7">
      <c r="A49" s="1634" t="s">
        <v>2345</v>
      </c>
      <c r="B49" s="1632" t="s">
        <v>2385</v>
      </c>
      <c r="C49" s="1633"/>
      <c r="D49" s="1633"/>
      <c r="E49" s="1627"/>
      <c r="G49" s="1627"/>
    </row>
    <row r="50" spans="1:7">
      <c r="A50" s="1634" t="s">
        <v>2346</v>
      </c>
      <c r="B50" s="1632" t="s">
        <v>2386</v>
      </c>
      <c r="C50" s="1633"/>
      <c r="D50" s="1633"/>
      <c r="E50" s="1627"/>
      <c r="G50" s="1627"/>
    </row>
    <row r="51" spans="1:7">
      <c r="A51" s="1631" t="s">
        <v>2347</v>
      </c>
      <c r="B51" s="1632">
        <v>29</v>
      </c>
      <c r="C51" s="1633">
        <v>0</v>
      </c>
      <c r="D51" s="1633">
        <v>0</v>
      </c>
      <c r="E51" s="1627"/>
      <c r="G51" s="1627"/>
    </row>
    <row r="52" spans="1:7" ht="16.5" thickBot="1">
      <c r="A52" s="1635" t="s">
        <v>2348</v>
      </c>
      <c r="B52" s="1636">
        <v>30</v>
      </c>
      <c r="C52" s="1637"/>
      <c r="D52" s="1637"/>
      <c r="E52" s="1627"/>
      <c r="G52" s="1627"/>
    </row>
    <row r="53" spans="1:7" ht="16.5" thickBot="1">
      <c r="A53" s="1646" t="s">
        <v>2387</v>
      </c>
      <c r="B53" s="1639">
        <v>31</v>
      </c>
      <c r="C53" s="1649">
        <v>0</v>
      </c>
      <c r="D53" s="1640">
        <v>0</v>
      </c>
      <c r="E53" s="1627"/>
      <c r="G53" s="1627"/>
    </row>
    <row r="54" spans="1:7" ht="16.5" thickBot="1">
      <c r="A54" s="1646" t="s">
        <v>2388</v>
      </c>
      <c r="B54" s="1651">
        <v>32</v>
      </c>
      <c r="C54" s="1640">
        <f>C55+C62+C63+C64+C65+C66</f>
        <v>31917</v>
      </c>
      <c r="D54" s="1652">
        <f>D55+D62+D63+D64+D65+D66</f>
        <v>31917</v>
      </c>
      <c r="E54" s="1627">
        <v>31917</v>
      </c>
      <c r="F54" s="1627">
        <f>SUM(E54-D54)</f>
        <v>0</v>
      </c>
      <c r="G54" s="1627"/>
    </row>
    <row r="55" spans="1:7">
      <c r="A55" s="1653" t="s">
        <v>2389</v>
      </c>
      <c r="B55" s="1625">
        <v>33</v>
      </c>
      <c r="C55" s="1654">
        <f>C56+C61</f>
        <v>26974</v>
      </c>
      <c r="D55" s="1655">
        <f>D56+D61</f>
        <v>26974</v>
      </c>
      <c r="E55" s="1627"/>
      <c r="G55" s="1627"/>
    </row>
    <row r="56" spans="1:7">
      <c r="A56" s="1628" t="s">
        <v>2390</v>
      </c>
      <c r="B56" s="1656">
        <v>34</v>
      </c>
      <c r="C56" s="1654">
        <f>C57</f>
        <v>0</v>
      </c>
      <c r="D56" s="1654">
        <f>D57</f>
        <v>0</v>
      </c>
      <c r="E56" s="1627"/>
      <c r="G56" s="1627"/>
    </row>
    <row r="57" spans="1:7">
      <c r="A57" s="1631" t="s">
        <v>2391</v>
      </c>
      <c r="B57" s="1657">
        <v>35</v>
      </c>
      <c r="C57" s="1642">
        <f>C58</f>
        <v>0</v>
      </c>
      <c r="D57" s="1642">
        <f>D58</f>
        <v>0</v>
      </c>
      <c r="E57" s="1627"/>
      <c r="G57" s="1627"/>
    </row>
    <row r="58" spans="1:7">
      <c r="A58" s="1634" t="s">
        <v>2345</v>
      </c>
      <c r="B58" s="1657" t="s">
        <v>2392</v>
      </c>
      <c r="C58" s="1642"/>
      <c r="D58" s="1642"/>
      <c r="E58" s="1627"/>
      <c r="G58" s="1627"/>
    </row>
    <row r="59" spans="1:7">
      <c r="A59" s="1634" t="s">
        <v>2346</v>
      </c>
      <c r="B59" s="1658" t="s">
        <v>2393</v>
      </c>
      <c r="C59" s="1642"/>
      <c r="D59" s="1642"/>
      <c r="E59" s="1627"/>
      <c r="G59" s="1627"/>
    </row>
    <row r="60" spans="1:7">
      <c r="A60" s="1631" t="s">
        <v>2347</v>
      </c>
      <c r="B60" s="1659">
        <v>36</v>
      </c>
      <c r="C60" s="1642">
        <v>0</v>
      </c>
      <c r="D60" s="1642">
        <v>0</v>
      </c>
      <c r="E60" s="1627"/>
      <c r="G60" s="1627"/>
    </row>
    <row r="61" spans="1:7" ht="16.5" thickBot="1">
      <c r="A61" s="1635" t="s">
        <v>2348</v>
      </c>
      <c r="B61" s="1636">
        <v>37</v>
      </c>
      <c r="C61" s="1637">
        <v>26974</v>
      </c>
      <c r="D61" s="1637">
        <v>26974</v>
      </c>
      <c r="E61" s="1627"/>
      <c r="G61" s="1627"/>
    </row>
    <row r="62" spans="1:7">
      <c r="A62" s="1653" t="s">
        <v>2394</v>
      </c>
      <c r="B62" s="1625">
        <v>38</v>
      </c>
      <c r="C62" s="1655"/>
      <c r="D62" s="1655"/>
      <c r="E62" s="1627"/>
      <c r="G62" s="1627"/>
    </row>
    <row r="63" spans="1:7">
      <c r="A63" s="1660" t="s">
        <v>2395</v>
      </c>
      <c r="B63" s="1661">
        <v>39</v>
      </c>
      <c r="C63" s="1641">
        <v>2522</v>
      </c>
      <c r="D63" s="1641">
        <v>2522</v>
      </c>
      <c r="E63" s="1627"/>
      <c r="G63" s="1627"/>
    </row>
    <row r="64" spans="1:7">
      <c r="A64" s="1660" t="s">
        <v>2396</v>
      </c>
      <c r="B64" s="1661">
        <v>40</v>
      </c>
      <c r="C64" s="1641"/>
      <c r="D64" s="1641"/>
      <c r="E64" s="1627"/>
      <c r="G64" s="1627"/>
    </row>
    <row r="65" spans="1:7">
      <c r="A65" s="1660" t="s">
        <v>2397</v>
      </c>
      <c r="B65" s="1661">
        <v>41</v>
      </c>
      <c r="C65" s="1641"/>
      <c r="D65" s="1641"/>
      <c r="E65" s="1627"/>
      <c r="G65" s="1627"/>
    </row>
    <row r="66" spans="1:7" ht="16.5" thickBot="1">
      <c r="A66" s="1662" t="s">
        <v>2398</v>
      </c>
      <c r="B66" s="1636">
        <v>42</v>
      </c>
      <c r="C66" s="1637">
        <v>2421</v>
      </c>
      <c r="D66" s="1637">
        <v>2421</v>
      </c>
      <c r="E66" s="1627"/>
      <c r="G66" s="1627"/>
    </row>
    <row r="67" spans="1:7" ht="36.75" customHeight="1" thickBot="1">
      <c r="A67" s="1646" t="s">
        <v>2399</v>
      </c>
      <c r="B67" s="1639">
        <v>43</v>
      </c>
      <c r="C67" s="1640">
        <f>C68+C73</f>
        <v>3051347</v>
      </c>
      <c r="D67" s="1640">
        <f>D68+D73</f>
        <v>2349241</v>
      </c>
      <c r="E67" s="1627">
        <v>2349241</v>
      </c>
      <c r="F67" s="1627">
        <f>SUM(E67-D67)</f>
        <v>0</v>
      </c>
      <c r="G67" s="1627"/>
    </row>
    <row r="68" spans="1:7">
      <c r="A68" s="1628" t="s">
        <v>2400</v>
      </c>
      <c r="B68" s="1661">
        <v>44</v>
      </c>
      <c r="C68" s="1630">
        <f>C69+C72</f>
        <v>2925472</v>
      </c>
      <c r="D68" s="1630">
        <f>D69+D72</f>
        <v>2314479</v>
      </c>
      <c r="E68" s="1627"/>
      <c r="F68" s="1627"/>
      <c r="G68" s="1627"/>
    </row>
    <row r="69" spans="1:7">
      <c r="A69" s="1631" t="s">
        <v>2401</v>
      </c>
      <c r="B69" s="1657">
        <v>45</v>
      </c>
      <c r="C69" s="1633">
        <f>C70+C71</f>
        <v>34545</v>
      </c>
      <c r="D69" s="1633">
        <f>D70+D71</f>
        <v>29969</v>
      </c>
      <c r="E69" s="1627"/>
      <c r="F69" s="1627"/>
      <c r="G69" s="1627"/>
    </row>
    <row r="70" spans="1:7">
      <c r="A70" s="1634" t="s">
        <v>2345</v>
      </c>
      <c r="B70" s="1658" t="s">
        <v>2402</v>
      </c>
      <c r="C70" s="1633">
        <v>34545</v>
      </c>
      <c r="D70" s="1633">
        <v>29969</v>
      </c>
      <c r="E70" s="1627"/>
      <c r="F70" s="1627"/>
      <c r="G70" s="1627"/>
    </row>
    <row r="71" spans="1:7">
      <c r="A71" s="1634" t="s">
        <v>2346</v>
      </c>
      <c r="B71" s="1663" t="s">
        <v>2403</v>
      </c>
      <c r="C71" s="1633"/>
      <c r="D71" s="1633"/>
      <c r="E71" s="1627"/>
      <c r="F71" s="1627"/>
      <c r="G71" s="1627"/>
    </row>
    <row r="72" spans="1:7">
      <c r="A72" s="1631" t="s">
        <v>2347</v>
      </c>
      <c r="B72" s="1657">
        <v>46</v>
      </c>
      <c r="C72" s="1633">
        <v>2890927</v>
      </c>
      <c r="D72" s="1633">
        <v>2284510</v>
      </c>
      <c r="E72" s="1627"/>
      <c r="F72" s="1627"/>
      <c r="G72" s="1627"/>
    </row>
    <row r="73" spans="1:7" ht="16.5" thickBot="1">
      <c r="A73" s="1635" t="s">
        <v>2348</v>
      </c>
      <c r="B73" s="1636">
        <v>47</v>
      </c>
      <c r="C73" s="1637">
        <v>125875</v>
      </c>
      <c r="D73" s="1637">
        <v>34762</v>
      </c>
      <c r="E73" s="1627"/>
      <c r="F73" s="1627"/>
      <c r="G73" s="1627"/>
    </row>
    <row r="74" spans="1:7" ht="16.5" thickBot="1">
      <c r="A74" s="1664" t="s">
        <v>2404</v>
      </c>
      <c r="B74" s="1665">
        <v>48</v>
      </c>
      <c r="C74" s="1666">
        <f>C5+C12+C54+C67</f>
        <v>15762706</v>
      </c>
      <c r="D74" s="1667">
        <f>D5+D12+D54+D67</f>
        <v>13118571</v>
      </c>
      <c r="E74" s="1627">
        <v>13118571</v>
      </c>
      <c r="F74" s="1627">
        <f>SUM(E74-D74)</f>
        <v>0</v>
      </c>
      <c r="G74" s="1627"/>
    </row>
    <row r="75" spans="1:7">
      <c r="A75" s="1653" t="s">
        <v>2405</v>
      </c>
      <c r="B75" s="1625">
        <v>49</v>
      </c>
      <c r="C75" s="1655">
        <v>4869</v>
      </c>
      <c r="D75" s="1655">
        <v>4869</v>
      </c>
      <c r="E75" s="1627">
        <v>4869</v>
      </c>
      <c r="F75" s="1627">
        <f>SUM(E75-D75)</f>
        <v>0</v>
      </c>
      <c r="G75" s="1627"/>
    </row>
    <row r="76" spans="1:7">
      <c r="A76" s="1660" t="s">
        <v>2406</v>
      </c>
      <c r="B76" s="1661">
        <v>50</v>
      </c>
      <c r="C76" s="1641">
        <v>194115</v>
      </c>
      <c r="D76" s="1641">
        <v>194115</v>
      </c>
      <c r="E76" s="1627"/>
      <c r="G76" s="1627"/>
    </row>
    <row r="77" spans="1:7">
      <c r="A77" s="1660" t="s">
        <v>2407</v>
      </c>
      <c r="B77" s="1661">
        <v>51</v>
      </c>
      <c r="C77" s="1641">
        <v>0</v>
      </c>
      <c r="D77" s="1641">
        <v>0</v>
      </c>
      <c r="E77" s="1627"/>
      <c r="G77" s="1627"/>
    </row>
    <row r="78" spans="1:7">
      <c r="A78" s="1660" t="s">
        <v>2408</v>
      </c>
      <c r="B78" s="1661">
        <v>52</v>
      </c>
      <c r="C78" s="1641">
        <v>1055770</v>
      </c>
      <c r="D78" s="1641">
        <v>1055770</v>
      </c>
      <c r="E78" s="1627"/>
    </row>
    <row r="79" spans="1:7" ht="16.5" thickBot="1">
      <c r="A79" s="1662" t="s">
        <v>2409</v>
      </c>
      <c r="B79" s="1636">
        <v>53</v>
      </c>
      <c r="C79" s="1637">
        <v>43424</v>
      </c>
      <c r="D79" s="1637">
        <v>43424</v>
      </c>
      <c r="E79" s="1627"/>
    </row>
    <row r="80" spans="1:7" ht="16.5" thickBot="1">
      <c r="A80" s="1664" t="s">
        <v>2410</v>
      </c>
      <c r="B80" s="1665">
        <v>54</v>
      </c>
      <c r="C80" s="1668">
        <f>C75+C76+C77+C78+C79</f>
        <v>1298178</v>
      </c>
      <c r="D80" s="1669">
        <f>D75+D76+D77+D78+D79</f>
        <v>1298178</v>
      </c>
      <c r="E80" s="1627">
        <v>1298178</v>
      </c>
      <c r="F80" s="1627">
        <f>SUM(E80-D80)</f>
        <v>0</v>
      </c>
    </row>
    <row r="81" spans="1:7" ht="16.5" thickBot="1">
      <c r="A81" s="1664" t="s">
        <v>2411</v>
      </c>
      <c r="B81" s="1665">
        <v>55</v>
      </c>
      <c r="C81" s="1668">
        <f>C74+C80</f>
        <v>17060884</v>
      </c>
      <c r="D81" s="1669">
        <f>D74+D80</f>
        <v>14416749</v>
      </c>
      <c r="E81" s="1627">
        <v>14416749</v>
      </c>
      <c r="F81" s="1627">
        <f>SUM(E81-D81)</f>
        <v>0</v>
      </c>
      <c r="G81" s="1627"/>
    </row>
  </sheetData>
  <sheetProtection selectLockedCells="1" selectUnlockedCells="1"/>
  <mergeCells count="5">
    <mergeCell ref="A1:D1"/>
    <mergeCell ref="A3:A4"/>
    <mergeCell ref="B3:B4"/>
    <mergeCell ref="C3:C4"/>
    <mergeCell ref="D3:D4"/>
  </mergeCells>
  <printOptions horizontalCentered="1"/>
  <pageMargins left="3.937007874015748E-2" right="3.937007874015748E-2" top="0.78740157480314965" bottom="0.74803149606299213" header="0.31496062992125984" footer="0.31496062992125984"/>
  <pageSetup paperSize="9" firstPageNumber="134" orientation="portrait" horizontalDpi="300" verticalDpi="300" r:id="rId1"/>
  <headerFooter alignWithMargins="0">
    <oddHeader>&amp;R&amp;12 17.1. sz. melléklet</oddHeader>
    <oddFooter>&amp;C- &amp;P -</oddFooter>
  </headerFooter>
  <rowBreaks count="1" manualBreakCount="1">
    <brk id="39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="110" zoomScaleSheetLayoutView="110" workbookViewId="0">
      <selection activeCell="A2" sqref="A2"/>
    </sheetView>
  </sheetViews>
  <sheetFormatPr defaultRowHeight="15.75"/>
  <cols>
    <col min="1" max="1" width="63" style="1620" customWidth="1"/>
    <col min="2" max="2" width="10.1640625" style="1620" customWidth="1"/>
    <col min="3" max="3" width="17.6640625" style="1621" customWidth="1"/>
    <col min="4" max="4" width="17.33203125" style="1621" customWidth="1"/>
    <col min="5" max="5" width="9.33203125" style="1619"/>
    <col min="6" max="6" width="13.1640625" style="1619" customWidth="1"/>
    <col min="7" max="256" width="9.33203125" style="1619"/>
    <col min="257" max="257" width="63" style="1619" customWidth="1"/>
    <col min="258" max="258" width="10.1640625" style="1619" customWidth="1"/>
    <col min="259" max="259" width="17.6640625" style="1619" customWidth="1"/>
    <col min="260" max="260" width="17.33203125" style="1619" customWidth="1"/>
    <col min="261" max="261" width="9.33203125" style="1619"/>
    <col min="262" max="262" width="13.1640625" style="1619" customWidth="1"/>
    <col min="263" max="512" width="9.33203125" style="1619"/>
    <col min="513" max="513" width="63" style="1619" customWidth="1"/>
    <col min="514" max="514" width="10.1640625" style="1619" customWidth="1"/>
    <col min="515" max="515" width="17.6640625" style="1619" customWidth="1"/>
    <col min="516" max="516" width="17.33203125" style="1619" customWidth="1"/>
    <col min="517" max="517" width="9.33203125" style="1619"/>
    <col min="518" max="518" width="13.1640625" style="1619" customWidth="1"/>
    <col min="519" max="768" width="9.33203125" style="1619"/>
    <col min="769" max="769" width="63" style="1619" customWidth="1"/>
    <col min="770" max="770" width="10.1640625" style="1619" customWidth="1"/>
    <col min="771" max="771" width="17.6640625" style="1619" customWidth="1"/>
    <col min="772" max="772" width="17.33203125" style="1619" customWidth="1"/>
    <col min="773" max="773" width="9.33203125" style="1619"/>
    <col min="774" max="774" width="13.1640625" style="1619" customWidth="1"/>
    <col min="775" max="1024" width="9.33203125" style="1619"/>
    <col min="1025" max="1025" width="63" style="1619" customWidth="1"/>
    <col min="1026" max="1026" width="10.1640625" style="1619" customWidth="1"/>
    <col min="1027" max="1027" width="17.6640625" style="1619" customWidth="1"/>
    <col min="1028" max="1028" width="17.33203125" style="1619" customWidth="1"/>
    <col min="1029" max="1029" width="9.33203125" style="1619"/>
    <col min="1030" max="1030" width="13.1640625" style="1619" customWidth="1"/>
    <col min="1031" max="1280" width="9.33203125" style="1619"/>
    <col min="1281" max="1281" width="63" style="1619" customWidth="1"/>
    <col min="1282" max="1282" width="10.1640625" style="1619" customWidth="1"/>
    <col min="1283" max="1283" width="17.6640625" style="1619" customWidth="1"/>
    <col min="1284" max="1284" width="17.33203125" style="1619" customWidth="1"/>
    <col min="1285" max="1285" width="9.33203125" style="1619"/>
    <col min="1286" max="1286" width="13.1640625" style="1619" customWidth="1"/>
    <col min="1287" max="1536" width="9.33203125" style="1619"/>
    <col min="1537" max="1537" width="63" style="1619" customWidth="1"/>
    <col min="1538" max="1538" width="10.1640625" style="1619" customWidth="1"/>
    <col min="1539" max="1539" width="17.6640625" style="1619" customWidth="1"/>
    <col min="1540" max="1540" width="17.33203125" style="1619" customWidth="1"/>
    <col min="1541" max="1541" width="9.33203125" style="1619"/>
    <col min="1542" max="1542" width="13.1640625" style="1619" customWidth="1"/>
    <col min="1543" max="1792" width="9.33203125" style="1619"/>
    <col min="1793" max="1793" width="63" style="1619" customWidth="1"/>
    <col min="1794" max="1794" width="10.1640625" style="1619" customWidth="1"/>
    <col min="1795" max="1795" width="17.6640625" style="1619" customWidth="1"/>
    <col min="1796" max="1796" width="17.33203125" style="1619" customWidth="1"/>
    <col min="1797" max="1797" width="9.33203125" style="1619"/>
    <col min="1798" max="1798" width="13.1640625" style="1619" customWidth="1"/>
    <col min="1799" max="2048" width="9.33203125" style="1619"/>
    <col min="2049" max="2049" width="63" style="1619" customWidth="1"/>
    <col min="2050" max="2050" width="10.1640625" style="1619" customWidth="1"/>
    <col min="2051" max="2051" width="17.6640625" style="1619" customWidth="1"/>
    <col min="2052" max="2052" width="17.33203125" style="1619" customWidth="1"/>
    <col min="2053" max="2053" width="9.33203125" style="1619"/>
    <col min="2054" max="2054" width="13.1640625" style="1619" customWidth="1"/>
    <col min="2055" max="2304" width="9.33203125" style="1619"/>
    <col min="2305" max="2305" width="63" style="1619" customWidth="1"/>
    <col min="2306" max="2306" width="10.1640625" style="1619" customWidth="1"/>
    <col min="2307" max="2307" width="17.6640625" style="1619" customWidth="1"/>
    <col min="2308" max="2308" width="17.33203125" style="1619" customWidth="1"/>
    <col min="2309" max="2309" width="9.33203125" style="1619"/>
    <col min="2310" max="2310" width="13.1640625" style="1619" customWidth="1"/>
    <col min="2311" max="2560" width="9.33203125" style="1619"/>
    <col min="2561" max="2561" width="63" style="1619" customWidth="1"/>
    <col min="2562" max="2562" width="10.1640625" style="1619" customWidth="1"/>
    <col min="2563" max="2563" width="17.6640625" style="1619" customWidth="1"/>
    <col min="2564" max="2564" width="17.33203125" style="1619" customWidth="1"/>
    <col min="2565" max="2565" width="9.33203125" style="1619"/>
    <col min="2566" max="2566" width="13.1640625" style="1619" customWidth="1"/>
    <col min="2567" max="2816" width="9.33203125" style="1619"/>
    <col min="2817" max="2817" width="63" style="1619" customWidth="1"/>
    <col min="2818" max="2818" width="10.1640625" style="1619" customWidth="1"/>
    <col min="2819" max="2819" width="17.6640625" style="1619" customWidth="1"/>
    <col min="2820" max="2820" width="17.33203125" style="1619" customWidth="1"/>
    <col min="2821" max="2821" width="9.33203125" style="1619"/>
    <col min="2822" max="2822" width="13.1640625" style="1619" customWidth="1"/>
    <col min="2823" max="3072" width="9.33203125" style="1619"/>
    <col min="3073" max="3073" width="63" style="1619" customWidth="1"/>
    <col min="3074" max="3074" width="10.1640625" style="1619" customWidth="1"/>
    <col min="3075" max="3075" width="17.6640625" style="1619" customWidth="1"/>
    <col min="3076" max="3076" width="17.33203125" style="1619" customWidth="1"/>
    <col min="3077" max="3077" width="9.33203125" style="1619"/>
    <col min="3078" max="3078" width="13.1640625" style="1619" customWidth="1"/>
    <col min="3079" max="3328" width="9.33203125" style="1619"/>
    <col min="3329" max="3329" width="63" style="1619" customWidth="1"/>
    <col min="3330" max="3330" width="10.1640625" style="1619" customWidth="1"/>
    <col min="3331" max="3331" width="17.6640625" style="1619" customWidth="1"/>
    <col min="3332" max="3332" width="17.33203125" style="1619" customWidth="1"/>
    <col min="3333" max="3333" width="9.33203125" style="1619"/>
    <col min="3334" max="3334" width="13.1640625" style="1619" customWidth="1"/>
    <col min="3335" max="3584" width="9.33203125" style="1619"/>
    <col min="3585" max="3585" width="63" style="1619" customWidth="1"/>
    <col min="3586" max="3586" width="10.1640625" style="1619" customWidth="1"/>
    <col min="3587" max="3587" width="17.6640625" style="1619" customWidth="1"/>
    <col min="3588" max="3588" width="17.33203125" style="1619" customWidth="1"/>
    <col min="3589" max="3589" width="9.33203125" style="1619"/>
    <col min="3590" max="3590" width="13.1640625" style="1619" customWidth="1"/>
    <col min="3591" max="3840" width="9.33203125" style="1619"/>
    <col min="3841" max="3841" width="63" style="1619" customWidth="1"/>
    <col min="3842" max="3842" width="10.1640625" style="1619" customWidth="1"/>
    <col min="3843" max="3843" width="17.6640625" style="1619" customWidth="1"/>
    <col min="3844" max="3844" width="17.33203125" style="1619" customWidth="1"/>
    <col min="3845" max="3845" width="9.33203125" style="1619"/>
    <col min="3846" max="3846" width="13.1640625" style="1619" customWidth="1"/>
    <col min="3847" max="4096" width="9.33203125" style="1619"/>
    <col min="4097" max="4097" width="63" style="1619" customWidth="1"/>
    <col min="4098" max="4098" width="10.1640625" style="1619" customWidth="1"/>
    <col min="4099" max="4099" width="17.6640625" style="1619" customWidth="1"/>
    <col min="4100" max="4100" width="17.33203125" style="1619" customWidth="1"/>
    <col min="4101" max="4101" width="9.33203125" style="1619"/>
    <col min="4102" max="4102" width="13.1640625" style="1619" customWidth="1"/>
    <col min="4103" max="4352" width="9.33203125" style="1619"/>
    <col min="4353" max="4353" width="63" style="1619" customWidth="1"/>
    <col min="4354" max="4354" width="10.1640625" style="1619" customWidth="1"/>
    <col min="4355" max="4355" width="17.6640625" style="1619" customWidth="1"/>
    <col min="4356" max="4356" width="17.33203125" style="1619" customWidth="1"/>
    <col min="4357" max="4357" width="9.33203125" style="1619"/>
    <col min="4358" max="4358" width="13.1640625" style="1619" customWidth="1"/>
    <col min="4359" max="4608" width="9.33203125" style="1619"/>
    <col min="4609" max="4609" width="63" style="1619" customWidth="1"/>
    <col min="4610" max="4610" width="10.1640625" style="1619" customWidth="1"/>
    <col min="4611" max="4611" width="17.6640625" style="1619" customWidth="1"/>
    <col min="4612" max="4612" width="17.33203125" style="1619" customWidth="1"/>
    <col min="4613" max="4613" width="9.33203125" style="1619"/>
    <col min="4614" max="4614" width="13.1640625" style="1619" customWidth="1"/>
    <col min="4615" max="4864" width="9.33203125" style="1619"/>
    <col min="4865" max="4865" width="63" style="1619" customWidth="1"/>
    <col min="4866" max="4866" width="10.1640625" style="1619" customWidth="1"/>
    <col min="4867" max="4867" width="17.6640625" style="1619" customWidth="1"/>
    <col min="4868" max="4868" width="17.33203125" style="1619" customWidth="1"/>
    <col min="4869" max="4869" width="9.33203125" style="1619"/>
    <col min="4870" max="4870" width="13.1640625" style="1619" customWidth="1"/>
    <col min="4871" max="5120" width="9.33203125" style="1619"/>
    <col min="5121" max="5121" width="63" style="1619" customWidth="1"/>
    <col min="5122" max="5122" width="10.1640625" style="1619" customWidth="1"/>
    <col min="5123" max="5123" width="17.6640625" style="1619" customWidth="1"/>
    <col min="5124" max="5124" width="17.33203125" style="1619" customWidth="1"/>
    <col min="5125" max="5125" width="9.33203125" style="1619"/>
    <col min="5126" max="5126" width="13.1640625" style="1619" customWidth="1"/>
    <col min="5127" max="5376" width="9.33203125" style="1619"/>
    <col min="5377" max="5377" width="63" style="1619" customWidth="1"/>
    <col min="5378" max="5378" width="10.1640625" style="1619" customWidth="1"/>
    <col min="5379" max="5379" width="17.6640625" style="1619" customWidth="1"/>
    <col min="5380" max="5380" width="17.33203125" style="1619" customWidth="1"/>
    <col min="5381" max="5381" width="9.33203125" style="1619"/>
    <col min="5382" max="5382" width="13.1640625" style="1619" customWidth="1"/>
    <col min="5383" max="5632" width="9.33203125" style="1619"/>
    <col min="5633" max="5633" width="63" style="1619" customWidth="1"/>
    <col min="5634" max="5634" width="10.1640625" style="1619" customWidth="1"/>
    <col min="5635" max="5635" width="17.6640625" style="1619" customWidth="1"/>
    <col min="5636" max="5636" width="17.33203125" style="1619" customWidth="1"/>
    <col min="5637" max="5637" width="9.33203125" style="1619"/>
    <col min="5638" max="5638" width="13.1640625" style="1619" customWidth="1"/>
    <col min="5639" max="5888" width="9.33203125" style="1619"/>
    <col min="5889" max="5889" width="63" style="1619" customWidth="1"/>
    <col min="5890" max="5890" width="10.1640625" style="1619" customWidth="1"/>
    <col min="5891" max="5891" width="17.6640625" style="1619" customWidth="1"/>
    <col min="5892" max="5892" width="17.33203125" style="1619" customWidth="1"/>
    <col min="5893" max="5893" width="9.33203125" style="1619"/>
    <col min="5894" max="5894" width="13.1640625" style="1619" customWidth="1"/>
    <col min="5895" max="6144" width="9.33203125" style="1619"/>
    <col min="6145" max="6145" width="63" style="1619" customWidth="1"/>
    <col min="6146" max="6146" width="10.1640625" style="1619" customWidth="1"/>
    <col min="6147" max="6147" width="17.6640625" style="1619" customWidth="1"/>
    <col min="6148" max="6148" width="17.33203125" style="1619" customWidth="1"/>
    <col min="6149" max="6149" width="9.33203125" style="1619"/>
    <col min="6150" max="6150" width="13.1640625" style="1619" customWidth="1"/>
    <col min="6151" max="6400" width="9.33203125" style="1619"/>
    <col min="6401" max="6401" width="63" style="1619" customWidth="1"/>
    <col min="6402" max="6402" width="10.1640625" style="1619" customWidth="1"/>
    <col min="6403" max="6403" width="17.6640625" style="1619" customWidth="1"/>
    <col min="6404" max="6404" width="17.33203125" style="1619" customWidth="1"/>
    <col min="6405" max="6405" width="9.33203125" style="1619"/>
    <col min="6406" max="6406" width="13.1640625" style="1619" customWidth="1"/>
    <col min="6407" max="6656" width="9.33203125" style="1619"/>
    <col min="6657" max="6657" width="63" style="1619" customWidth="1"/>
    <col min="6658" max="6658" width="10.1640625" style="1619" customWidth="1"/>
    <col min="6659" max="6659" width="17.6640625" style="1619" customWidth="1"/>
    <col min="6660" max="6660" width="17.33203125" style="1619" customWidth="1"/>
    <col min="6661" max="6661" width="9.33203125" style="1619"/>
    <col min="6662" max="6662" width="13.1640625" style="1619" customWidth="1"/>
    <col min="6663" max="6912" width="9.33203125" style="1619"/>
    <col min="6913" max="6913" width="63" style="1619" customWidth="1"/>
    <col min="6914" max="6914" width="10.1640625" style="1619" customWidth="1"/>
    <col min="6915" max="6915" width="17.6640625" style="1619" customWidth="1"/>
    <col min="6916" max="6916" width="17.33203125" style="1619" customWidth="1"/>
    <col min="6917" max="6917" width="9.33203125" style="1619"/>
    <col min="6918" max="6918" width="13.1640625" style="1619" customWidth="1"/>
    <col min="6919" max="7168" width="9.33203125" style="1619"/>
    <col min="7169" max="7169" width="63" style="1619" customWidth="1"/>
    <col min="7170" max="7170" width="10.1640625" style="1619" customWidth="1"/>
    <col min="7171" max="7171" width="17.6640625" style="1619" customWidth="1"/>
    <col min="7172" max="7172" width="17.33203125" style="1619" customWidth="1"/>
    <col min="7173" max="7173" width="9.33203125" style="1619"/>
    <col min="7174" max="7174" width="13.1640625" style="1619" customWidth="1"/>
    <col min="7175" max="7424" width="9.33203125" style="1619"/>
    <col min="7425" max="7425" width="63" style="1619" customWidth="1"/>
    <col min="7426" max="7426" width="10.1640625" style="1619" customWidth="1"/>
    <col min="7427" max="7427" width="17.6640625" style="1619" customWidth="1"/>
    <col min="7428" max="7428" width="17.33203125" style="1619" customWidth="1"/>
    <col min="7429" max="7429" width="9.33203125" style="1619"/>
    <col min="7430" max="7430" width="13.1640625" style="1619" customWidth="1"/>
    <col min="7431" max="7680" width="9.33203125" style="1619"/>
    <col min="7681" max="7681" width="63" style="1619" customWidth="1"/>
    <col min="7682" max="7682" width="10.1640625" style="1619" customWidth="1"/>
    <col min="7683" max="7683" width="17.6640625" style="1619" customWidth="1"/>
    <col min="7684" max="7684" width="17.33203125" style="1619" customWidth="1"/>
    <col min="7685" max="7685" width="9.33203125" style="1619"/>
    <col min="7686" max="7686" width="13.1640625" style="1619" customWidth="1"/>
    <col min="7687" max="7936" width="9.33203125" style="1619"/>
    <col min="7937" max="7937" width="63" style="1619" customWidth="1"/>
    <col min="7938" max="7938" width="10.1640625" style="1619" customWidth="1"/>
    <col min="7939" max="7939" width="17.6640625" style="1619" customWidth="1"/>
    <col min="7940" max="7940" width="17.33203125" style="1619" customWidth="1"/>
    <col min="7941" max="7941" width="9.33203125" style="1619"/>
    <col min="7942" max="7942" width="13.1640625" style="1619" customWidth="1"/>
    <col min="7943" max="8192" width="9.33203125" style="1619"/>
    <col min="8193" max="8193" width="63" style="1619" customWidth="1"/>
    <col min="8194" max="8194" width="10.1640625" style="1619" customWidth="1"/>
    <col min="8195" max="8195" width="17.6640625" style="1619" customWidth="1"/>
    <col min="8196" max="8196" width="17.33203125" style="1619" customWidth="1"/>
    <col min="8197" max="8197" width="9.33203125" style="1619"/>
    <col min="8198" max="8198" width="13.1640625" style="1619" customWidth="1"/>
    <col min="8199" max="8448" width="9.33203125" style="1619"/>
    <col min="8449" max="8449" width="63" style="1619" customWidth="1"/>
    <col min="8450" max="8450" width="10.1640625" style="1619" customWidth="1"/>
    <col min="8451" max="8451" width="17.6640625" style="1619" customWidth="1"/>
    <col min="8452" max="8452" width="17.33203125" style="1619" customWidth="1"/>
    <col min="8453" max="8453" width="9.33203125" style="1619"/>
    <col min="8454" max="8454" width="13.1640625" style="1619" customWidth="1"/>
    <col min="8455" max="8704" width="9.33203125" style="1619"/>
    <col min="8705" max="8705" width="63" style="1619" customWidth="1"/>
    <col min="8706" max="8706" width="10.1640625" style="1619" customWidth="1"/>
    <col min="8707" max="8707" width="17.6640625" style="1619" customWidth="1"/>
    <col min="8708" max="8708" width="17.33203125" style="1619" customWidth="1"/>
    <col min="8709" max="8709" width="9.33203125" style="1619"/>
    <col min="8710" max="8710" width="13.1640625" style="1619" customWidth="1"/>
    <col min="8711" max="8960" width="9.33203125" style="1619"/>
    <col min="8961" max="8961" width="63" style="1619" customWidth="1"/>
    <col min="8962" max="8962" width="10.1640625" style="1619" customWidth="1"/>
    <col min="8963" max="8963" width="17.6640625" style="1619" customWidth="1"/>
    <col min="8964" max="8964" width="17.33203125" style="1619" customWidth="1"/>
    <col min="8965" max="8965" width="9.33203125" style="1619"/>
    <col min="8966" max="8966" width="13.1640625" style="1619" customWidth="1"/>
    <col min="8967" max="9216" width="9.33203125" style="1619"/>
    <col min="9217" max="9217" width="63" style="1619" customWidth="1"/>
    <col min="9218" max="9218" width="10.1640625" style="1619" customWidth="1"/>
    <col min="9219" max="9219" width="17.6640625" style="1619" customWidth="1"/>
    <col min="9220" max="9220" width="17.33203125" style="1619" customWidth="1"/>
    <col min="9221" max="9221" width="9.33203125" style="1619"/>
    <col min="9222" max="9222" width="13.1640625" style="1619" customWidth="1"/>
    <col min="9223" max="9472" width="9.33203125" style="1619"/>
    <col min="9473" max="9473" width="63" style="1619" customWidth="1"/>
    <col min="9474" max="9474" width="10.1640625" style="1619" customWidth="1"/>
    <col min="9475" max="9475" width="17.6640625" style="1619" customWidth="1"/>
    <col min="9476" max="9476" width="17.33203125" style="1619" customWidth="1"/>
    <col min="9477" max="9477" width="9.33203125" style="1619"/>
    <col min="9478" max="9478" width="13.1640625" style="1619" customWidth="1"/>
    <col min="9479" max="9728" width="9.33203125" style="1619"/>
    <col min="9729" max="9729" width="63" style="1619" customWidth="1"/>
    <col min="9730" max="9730" width="10.1640625" style="1619" customWidth="1"/>
    <col min="9731" max="9731" width="17.6640625" style="1619" customWidth="1"/>
    <col min="9732" max="9732" width="17.33203125" style="1619" customWidth="1"/>
    <col min="9733" max="9733" width="9.33203125" style="1619"/>
    <col min="9734" max="9734" width="13.1640625" style="1619" customWidth="1"/>
    <col min="9735" max="9984" width="9.33203125" style="1619"/>
    <col min="9985" max="9985" width="63" style="1619" customWidth="1"/>
    <col min="9986" max="9986" width="10.1640625" style="1619" customWidth="1"/>
    <col min="9987" max="9987" width="17.6640625" style="1619" customWidth="1"/>
    <col min="9988" max="9988" width="17.33203125" style="1619" customWidth="1"/>
    <col min="9989" max="9989" width="9.33203125" style="1619"/>
    <col min="9990" max="9990" width="13.1640625" style="1619" customWidth="1"/>
    <col min="9991" max="10240" width="9.33203125" style="1619"/>
    <col min="10241" max="10241" width="63" style="1619" customWidth="1"/>
    <col min="10242" max="10242" width="10.1640625" style="1619" customWidth="1"/>
    <col min="10243" max="10243" width="17.6640625" style="1619" customWidth="1"/>
    <col min="10244" max="10244" width="17.33203125" style="1619" customWidth="1"/>
    <col min="10245" max="10245" width="9.33203125" style="1619"/>
    <col min="10246" max="10246" width="13.1640625" style="1619" customWidth="1"/>
    <col min="10247" max="10496" width="9.33203125" style="1619"/>
    <col min="10497" max="10497" width="63" style="1619" customWidth="1"/>
    <col min="10498" max="10498" width="10.1640625" style="1619" customWidth="1"/>
    <col min="10499" max="10499" width="17.6640625" style="1619" customWidth="1"/>
    <col min="10500" max="10500" width="17.33203125" style="1619" customWidth="1"/>
    <col min="10501" max="10501" width="9.33203125" style="1619"/>
    <col min="10502" max="10502" width="13.1640625" style="1619" customWidth="1"/>
    <col min="10503" max="10752" width="9.33203125" style="1619"/>
    <col min="10753" max="10753" width="63" style="1619" customWidth="1"/>
    <col min="10754" max="10754" width="10.1640625" style="1619" customWidth="1"/>
    <col min="10755" max="10755" width="17.6640625" style="1619" customWidth="1"/>
    <col min="10756" max="10756" width="17.33203125" style="1619" customWidth="1"/>
    <col min="10757" max="10757" width="9.33203125" style="1619"/>
    <col min="10758" max="10758" width="13.1640625" style="1619" customWidth="1"/>
    <col min="10759" max="11008" width="9.33203125" style="1619"/>
    <col min="11009" max="11009" width="63" style="1619" customWidth="1"/>
    <col min="11010" max="11010" width="10.1640625" style="1619" customWidth="1"/>
    <col min="11011" max="11011" width="17.6640625" style="1619" customWidth="1"/>
    <col min="11012" max="11012" width="17.33203125" style="1619" customWidth="1"/>
    <col min="11013" max="11013" width="9.33203125" style="1619"/>
    <col min="11014" max="11014" width="13.1640625" style="1619" customWidth="1"/>
    <col min="11015" max="11264" width="9.33203125" style="1619"/>
    <col min="11265" max="11265" width="63" style="1619" customWidth="1"/>
    <col min="11266" max="11266" width="10.1640625" style="1619" customWidth="1"/>
    <col min="11267" max="11267" width="17.6640625" style="1619" customWidth="1"/>
    <col min="11268" max="11268" width="17.33203125" style="1619" customWidth="1"/>
    <col min="11269" max="11269" width="9.33203125" style="1619"/>
    <col min="11270" max="11270" width="13.1640625" style="1619" customWidth="1"/>
    <col min="11271" max="11520" width="9.33203125" style="1619"/>
    <col min="11521" max="11521" width="63" style="1619" customWidth="1"/>
    <col min="11522" max="11522" width="10.1640625" style="1619" customWidth="1"/>
    <col min="11523" max="11523" width="17.6640625" style="1619" customWidth="1"/>
    <col min="11524" max="11524" width="17.33203125" style="1619" customWidth="1"/>
    <col min="11525" max="11525" width="9.33203125" style="1619"/>
    <col min="11526" max="11526" width="13.1640625" style="1619" customWidth="1"/>
    <col min="11527" max="11776" width="9.33203125" style="1619"/>
    <col min="11777" max="11777" width="63" style="1619" customWidth="1"/>
    <col min="11778" max="11778" width="10.1640625" style="1619" customWidth="1"/>
    <col min="11779" max="11779" width="17.6640625" style="1619" customWidth="1"/>
    <col min="11780" max="11780" width="17.33203125" style="1619" customWidth="1"/>
    <col min="11781" max="11781" width="9.33203125" style="1619"/>
    <col min="11782" max="11782" width="13.1640625" style="1619" customWidth="1"/>
    <col min="11783" max="12032" width="9.33203125" style="1619"/>
    <col min="12033" max="12033" width="63" style="1619" customWidth="1"/>
    <col min="12034" max="12034" width="10.1640625" style="1619" customWidth="1"/>
    <col min="12035" max="12035" width="17.6640625" style="1619" customWidth="1"/>
    <col min="12036" max="12036" width="17.33203125" style="1619" customWidth="1"/>
    <col min="12037" max="12037" width="9.33203125" style="1619"/>
    <col min="12038" max="12038" width="13.1640625" style="1619" customWidth="1"/>
    <col min="12039" max="12288" width="9.33203125" style="1619"/>
    <col min="12289" max="12289" width="63" style="1619" customWidth="1"/>
    <col min="12290" max="12290" width="10.1640625" style="1619" customWidth="1"/>
    <col min="12291" max="12291" width="17.6640625" style="1619" customWidth="1"/>
    <col min="12292" max="12292" width="17.33203125" style="1619" customWidth="1"/>
    <col min="12293" max="12293" width="9.33203125" style="1619"/>
    <col min="12294" max="12294" width="13.1640625" style="1619" customWidth="1"/>
    <col min="12295" max="12544" width="9.33203125" style="1619"/>
    <col min="12545" max="12545" width="63" style="1619" customWidth="1"/>
    <col min="12546" max="12546" width="10.1640625" style="1619" customWidth="1"/>
    <col min="12547" max="12547" width="17.6640625" style="1619" customWidth="1"/>
    <col min="12548" max="12548" width="17.33203125" style="1619" customWidth="1"/>
    <col min="12549" max="12549" width="9.33203125" style="1619"/>
    <col min="12550" max="12550" width="13.1640625" style="1619" customWidth="1"/>
    <col min="12551" max="12800" width="9.33203125" style="1619"/>
    <col min="12801" max="12801" width="63" style="1619" customWidth="1"/>
    <col min="12802" max="12802" width="10.1640625" style="1619" customWidth="1"/>
    <col min="12803" max="12803" width="17.6640625" style="1619" customWidth="1"/>
    <col min="12804" max="12804" width="17.33203125" style="1619" customWidth="1"/>
    <col min="12805" max="12805" width="9.33203125" style="1619"/>
    <col min="12806" max="12806" width="13.1640625" style="1619" customWidth="1"/>
    <col min="12807" max="13056" width="9.33203125" style="1619"/>
    <col min="13057" max="13057" width="63" style="1619" customWidth="1"/>
    <col min="13058" max="13058" width="10.1640625" style="1619" customWidth="1"/>
    <col min="13059" max="13059" width="17.6640625" style="1619" customWidth="1"/>
    <col min="13060" max="13060" width="17.33203125" style="1619" customWidth="1"/>
    <col min="13061" max="13061" width="9.33203125" style="1619"/>
    <col min="13062" max="13062" width="13.1640625" style="1619" customWidth="1"/>
    <col min="13063" max="13312" width="9.33203125" style="1619"/>
    <col min="13313" max="13313" width="63" style="1619" customWidth="1"/>
    <col min="13314" max="13314" width="10.1640625" style="1619" customWidth="1"/>
    <col min="13315" max="13315" width="17.6640625" style="1619" customWidth="1"/>
    <col min="13316" max="13316" width="17.33203125" style="1619" customWidth="1"/>
    <col min="13317" max="13317" width="9.33203125" style="1619"/>
    <col min="13318" max="13318" width="13.1640625" style="1619" customWidth="1"/>
    <col min="13319" max="13568" width="9.33203125" style="1619"/>
    <col min="13569" max="13569" width="63" style="1619" customWidth="1"/>
    <col min="13570" max="13570" width="10.1640625" style="1619" customWidth="1"/>
    <col min="13571" max="13571" width="17.6640625" style="1619" customWidth="1"/>
    <col min="13572" max="13572" width="17.33203125" style="1619" customWidth="1"/>
    <col min="13573" max="13573" width="9.33203125" style="1619"/>
    <col min="13574" max="13574" width="13.1640625" style="1619" customWidth="1"/>
    <col min="13575" max="13824" width="9.33203125" style="1619"/>
    <col min="13825" max="13825" width="63" style="1619" customWidth="1"/>
    <col min="13826" max="13826" width="10.1640625" style="1619" customWidth="1"/>
    <col min="13827" max="13827" width="17.6640625" style="1619" customWidth="1"/>
    <col min="13828" max="13828" width="17.33203125" style="1619" customWidth="1"/>
    <col min="13829" max="13829" width="9.33203125" style="1619"/>
    <col min="13830" max="13830" width="13.1640625" style="1619" customWidth="1"/>
    <col min="13831" max="14080" width="9.33203125" style="1619"/>
    <col min="14081" max="14081" width="63" style="1619" customWidth="1"/>
    <col min="14082" max="14082" width="10.1640625" style="1619" customWidth="1"/>
    <col min="14083" max="14083" width="17.6640625" style="1619" customWidth="1"/>
    <col min="14084" max="14084" width="17.33203125" style="1619" customWidth="1"/>
    <col min="14085" max="14085" width="9.33203125" style="1619"/>
    <col min="14086" max="14086" width="13.1640625" style="1619" customWidth="1"/>
    <col min="14087" max="14336" width="9.33203125" style="1619"/>
    <col min="14337" max="14337" width="63" style="1619" customWidth="1"/>
    <col min="14338" max="14338" width="10.1640625" style="1619" customWidth="1"/>
    <col min="14339" max="14339" width="17.6640625" style="1619" customWidth="1"/>
    <col min="14340" max="14340" width="17.33203125" style="1619" customWidth="1"/>
    <col min="14341" max="14341" width="9.33203125" style="1619"/>
    <col min="14342" max="14342" width="13.1640625" style="1619" customWidth="1"/>
    <col min="14343" max="14592" width="9.33203125" style="1619"/>
    <col min="14593" max="14593" width="63" style="1619" customWidth="1"/>
    <col min="14594" max="14594" width="10.1640625" style="1619" customWidth="1"/>
    <col min="14595" max="14595" width="17.6640625" style="1619" customWidth="1"/>
    <col min="14596" max="14596" width="17.33203125" style="1619" customWidth="1"/>
    <col min="14597" max="14597" width="9.33203125" style="1619"/>
    <col min="14598" max="14598" width="13.1640625" style="1619" customWidth="1"/>
    <col min="14599" max="14848" width="9.33203125" style="1619"/>
    <col min="14849" max="14849" width="63" style="1619" customWidth="1"/>
    <col min="14850" max="14850" width="10.1640625" style="1619" customWidth="1"/>
    <col min="14851" max="14851" width="17.6640625" style="1619" customWidth="1"/>
    <col min="14852" max="14852" width="17.33203125" style="1619" customWidth="1"/>
    <col min="14853" max="14853" width="9.33203125" style="1619"/>
    <col min="14854" max="14854" width="13.1640625" style="1619" customWidth="1"/>
    <col min="14855" max="15104" width="9.33203125" style="1619"/>
    <col min="15105" max="15105" width="63" style="1619" customWidth="1"/>
    <col min="15106" max="15106" width="10.1640625" style="1619" customWidth="1"/>
    <col min="15107" max="15107" width="17.6640625" style="1619" customWidth="1"/>
    <col min="15108" max="15108" width="17.33203125" style="1619" customWidth="1"/>
    <col min="15109" max="15109" width="9.33203125" style="1619"/>
    <col min="15110" max="15110" width="13.1640625" style="1619" customWidth="1"/>
    <col min="15111" max="15360" width="9.33203125" style="1619"/>
    <col min="15361" max="15361" width="63" style="1619" customWidth="1"/>
    <col min="15362" max="15362" width="10.1640625" style="1619" customWidth="1"/>
    <col min="15363" max="15363" width="17.6640625" style="1619" customWidth="1"/>
    <col min="15364" max="15364" width="17.33203125" style="1619" customWidth="1"/>
    <col min="15365" max="15365" width="9.33203125" style="1619"/>
    <col min="15366" max="15366" width="13.1640625" style="1619" customWidth="1"/>
    <col min="15367" max="15616" width="9.33203125" style="1619"/>
    <col min="15617" max="15617" width="63" style="1619" customWidth="1"/>
    <col min="15618" max="15618" width="10.1640625" style="1619" customWidth="1"/>
    <col min="15619" max="15619" width="17.6640625" style="1619" customWidth="1"/>
    <col min="15620" max="15620" width="17.33203125" style="1619" customWidth="1"/>
    <col min="15621" max="15621" width="9.33203125" style="1619"/>
    <col min="15622" max="15622" width="13.1640625" style="1619" customWidth="1"/>
    <col min="15623" max="15872" width="9.33203125" style="1619"/>
    <col min="15873" max="15873" width="63" style="1619" customWidth="1"/>
    <col min="15874" max="15874" width="10.1640625" style="1619" customWidth="1"/>
    <col min="15875" max="15875" width="17.6640625" style="1619" customWidth="1"/>
    <col min="15876" max="15876" width="17.33203125" style="1619" customWidth="1"/>
    <col min="15877" max="15877" width="9.33203125" style="1619"/>
    <col min="15878" max="15878" width="13.1640625" style="1619" customWidth="1"/>
    <col min="15879" max="16128" width="9.33203125" style="1619"/>
    <col min="16129" max="16129" width="63" style="1619" customWidth="1"/>
    <col min="16130" max="16130" width="10.1640625" style="1619" customWidth="1"/>
    <col min="16131" max="16131" width="17.6640625" style="1619" customWidth="1"/>
    <col min="16132" max="16132" width="17.33203125" style="1619" customWidth="1"/>
    <col min="16133" max="16133" width="9.33203125" style="1619"/>
    <col min="16134" max="16134" width="13.1640625" style="1619" customWidth="1"/>
    <col min="16135" max="16384" width="9.33203125" style="1619"/>
  </cols>
  <sheetData>
    <row r="1" spans="1:6" ht="75.75" customHeight="1">
      <c r="A1" s="2006" t="s">
        <v>2455</v>
      </c>
      <c r="B1" s="2006"/>
      <c r="C1" s="2006"/>
      <c r="D1" s="2006"/>
    </row>
    <row r="2" spans="1:6" ht="16.5" thickBot="1">
      <c r="D2" s="1622" t="s">
        <v>2335</v>
      </c>
    </row>
    <row r="3" spans="1:6" ht="15.75" customHeight="1" thickBot="1">
      <c r="A3" s="2012" t="s">
        <v>2412</v>
      </c>
      <c r="B3" s="2008" t="s">
        <v>2337</v>
      </c>
      <c r="C3" s="2010" t="s">
        <v>2339</v>
      </c>
      <c r="D3" s="2010"/>
    </row>
    <row r="4" spans="1:6" ht="24.75" customHeight="1" thickBot="1">
      <c r="A4" s="2012"/>
      <c r="B4" s="2012"/>
      <c r="C4" s="2010"/>
      <c r="D4" s="2010"/>
    </row>
    <row r="5" spans="1:6" ht="15.75" hidden="1" customHeight="1">
      <c r="A5" s="1670" t="s">
        <v>2413</v>
      </c>
      <c r="B5" s="1671">
        <v>1</v>
      </c>
      <c r="C5" s="2013"/>
      <c r="D5" s="2013"/>
    </row>
    <row r="6" spans="1:6" ht="15.75" hidden="1" customHeight="1">
      <c r="A6" s="1672" t="s">
        <v>2414</v>
      </c>
      <c r="B6" s="1673">
        <f>+B5+1</f>
        <v>2</v>
      </c>
      <c r="C6" s="2011"/>
      <c r="D6" s="2011"/>
    </row>
    <row r="7" spans="1:6" ht="16.5" hidden="1" customHeight="1">
      <c r="A7" s="1674" t="s">
        <v>2415</v>
      </c>
      <c r="B7" s="1675">
        <f>+B6+1</f>
        <v>3</v>
      </c>
      <c r="C7" s="2014"/>
      <c r="D7" s="2014"/>
    </row>
    <row r="8" spans="1:6" ht="16.5" hidden="1" customHeight="1">
      <c r="A8" s="1664" t="s">
        <v>2416</v>
      </c>
      <c r="B8" s="1665">
        <f>+B7+1</f>
        <v>4</v>
      </c>
      <c r="C8" s="2016">
        <f>+C5+C6+C7</f>
        <v>0</v>
      </c>
      <c r="D8" s="2016"/>
    </row>
    <row r="9" spans="1:6" ht="15.75" hidden="1" customHeight="1">
      <c r="A9" s="1676" t="s">
        <v>2417</v>
      </c>
      <c r="B9" s="1671">
        <f>+B8+1</f>
        <v>5</v>
      </c>
      <c r="C9" s="2014"/>
      <c r="D9" s="2014"/>
    </row>
    <row r="10" spans="1:6" ht="16.5" hidden="1" customHeight="1">
      <c r="A10" s="1677" t="s">
        <v>2418</v>
      </c>
      <c r="B10" s="1673">
        <v>6</v>
      </c>
      <c r="C10" s="2017"/>
      <c r="D10" s="2017"/>
    </row>
    <row r="11" spans="1:6" ht="16.5" hidden="1" customHeight="1">
      <c r="A11" s="1664" t="s">
        <v>2419</v>
      </c>
      <c r="B11" s="1665">
        <v>7</v>
      </c>
      <c r="C11" s="2016">
        <f>+C9+C10</f>
        <v>0</v>
      </c>
      <c r="D11" s="2016"/>
    </row>
    <row r="12" spans="1:6" ht="15.75" customHeight="1">
      <c r="A12" s="1676" t="s">
        <v>2420</v>
      </c>
      <c r="B12" s="1671">
        <v>1</v>
      </c>
      <c r="C12" s="2011">
        <v>869974</v>
      </c>
      <c r="D12" s="2011"/>
    </row>
    <row r="13" spans="1:6" ht="15.75" customHeight="1">
      <c r="A13" s="1677" t="s">
        <v>2421</v>
      </c>
      <c r="B13" s="1673">
        <v>2</v>
      </c>
      <c r="C13" s="2011">
        <v>464397</v>
      </c>
      <c r="D13" s="2011"/>
    </row>
    <row r="14" spans="1:6" ht="15.75" customHeight="1" thickBot="1">
      <c r="A14" s="1678" t="s">
        <v>2422</v>
      </c>
      <c r="B14" s="1673">
        <v>3</v>
      </c>
      <c r="C14" s="2014">
        <v>70436</v>
      </c>
      <c r="D14" s="2014"/>
    </row>
    <row r="15" spans="1:6" ht="16.5" customHeight="1" thickBot="1">
      <c r="A15" s="1664" t="s">
        <v>2423</v>
      </c>
      <c r="B15" s="1665">
        <v>4</v>
      </c>
      <c r="C15" s="2015">
        <f>+C12+C13+C14</f>
        <v>1404807</v>
      </c>
      <c r="D15" s="2015"/>
      <c r="F15" s="1627"/>
    </row>
    <row r="16" spans="1:6" ht="16.5" hidden="1" customHeight="1">
      <c r="A16" s="1664" t="s">
        <v>2424</v>
      </c>
      <c r="B16" s="1665">
        <v>12</v>
      </c>
      <c r="C16" s="2016">
        <f>+C8+C11+C15</f>
        <v>1404807</v>
      </c>
      <c r="D16" s="2016"/>
    </row>
    <row r="17" spans="2:2">
      <c r="B17" s="1679"/>
    </row>
  </sheetData>
  <sheetProtection selectLockedCells="1" selectUnlockedCells="1"/>
  <mergeCells count="16"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C12:D12"/>
    <mergeCell ref="C6:D6"/>
    <mergeCell ref="A1:D1"/>
    <mergeCell ref="A3:A4"/>
    <mergeCell ref="B3:B4"/>
    <mergeCell ref="C3:D4"/>
    <mergeCell ref="C5:D5"/>
  </mergeCells>
  <printOptions horizontalCentered="1"/>
  <pageMargins left="0.35433070866141736" right="0.19685039370078741" top="0.43307086614173229" bottom="0.35433070866141736" header="0.27559055118110237" footer="0.23622047244094491"/>
  <pageSetup paperSize="9" firstPageNumber="136" orientation="portrait" horizontalDpi="300" verticalDpi="300" r:id="rId1"/>
  <headerFooter alignWithMargins="0">
    <oddHeader>&amp;R&amp;12 17.2. sz. melléklet</oddHeader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="110" zoomScaleSheetLayoutView="110" workbookViewId="0">
      <selection activeCell="F6" sqref="F6"/>
    </sheetView>
  </sheetViews>
  <sheetFormatPr defaultRowHeight="15.75"/>
  <cols>
    <col min="1" max="1" width="69.83203125" style="1620" customWidth="1"/>
    <col min="2" max="2" width="10.1640625" style="1620" customWidth="1"/>
    <col min="3" max="3" width="15.1640625" style="1621" customWidth="1"/>
    <col min="4" max="4" width="13.83203125" style="1621" customWidth="1"/>
    <col min="5" max="5" width="9.33203125" style="1619"/>
    <col min="6" max="6" width="13.1640625" style="1619" customWidth="1"/>
    <col min="7" max="7" width="15.6640625" style="1619" customWidth="1"/>
    <col min="8" max="8" width="9.33203125" style="1619"/>
    <col min="9" max="9" width="10.33203125" style="1619" bestFit="1" customWidth="1"/>
    <col min="10" max="10" width="12.1640625" style="1619" customWidth="1"/>
    <col min="11" max="256" width="9.33203125" style="1619"/>
    <col min="257" max="257" width="69.83203125" style="1619" customWidth="1"/>
    <col min="258" max="258" width="10.1640625" style="1619" customWidth="1"/>
    <col min="259" max="259" width="15.1640625" style="1619" customWidth="1"/>
    <col min="260" max="260" width="13.83203125" style="1619" customWidth="1"/>
    <col min="261" max="261" width="9.33203125" style="1619"/>
    <col min="262" max="262" width="13.1640625" style="1619" customWidth="1"/>
    <col min="263" max="263" width="15.6640625" style="1619" customWidth="1"/>
    <col min="264" max="512" width="9.33203125" style="1619"/>
    <col min="513" max="513" width="69.83203125" style="1619" customWidth="1"/>
    <col min="514" max="514" width="10.1640625" style="1619" customWidth="1"/>
    <col min="515" max="515" width="15.1640625" style="1619" customWidth="1"/>
    <col min="516" max="516" width="13.83203125" style="1619" customWidth="1"/>
    <col min="517" max="517" width="9.33203125" style="1619"/>
    <col min="518" max="518" width="13.1640625" style="1619" customWidth="1"/>
    <col min="519" max="519" width="15.6640625" style="1619" customWidth="1"/>
    <col min="520" max="768" width="9.33203125" style="1619"/>
    <col min="769" max="769" width="69.83203125" style="1619" customWidth="1"/>
    <col min="770" max="770" width="10.1640625" style="1619" customWidth="1"/>
    <col min="771" max="771" width="15.1640625" style="1619" customWidth="1"/>
    <col min="772" max="772" width="13.83203125" style="1619" customWidth="1"/>
    <col min="773" max="773" width="9.33203125" style="1619"/>
    <col min="774" max="774" width="13.1640625" style="1619" customWidth="1"/>
    <col min="775" max="775" width="15.6640625" style="1619" customWidth="1"/>
    <col min="776" max="1024" width="9.33203125" style="1619"/>
    <col min="1025" max="1025" width="69.83203125" style="1619" customWidth="1"/>
    <col min="1026" max="1026" width="10.1640625" style="1619" customWidth="1"/>
    <col min="1027" max="1027" width="15.1640625" style="1619" customWidth="1"/>
    <col min="1028" max="1028" width="13.83203125" style="1619" customWidth="1"/>
    <col min="1029" max="1029" width="9.33203125" style="1619"/>
    <col min="1030" max="1030" width="13.1640625" style="1619" customWidth="1"/>
    <col min="1031" max="1031" width="15.6640625" style="1619" customWidth="1"/>
    <col min="1032" max="1280" width="9.33203125" style="1619"/>
    <col min="1281" max="1281" width="69.83203125" style="1619" customWidth="1"/>
    <col min="1282" max="1282" width="10.1640625" style="1619" customWidth="1"/>
    <col min="1283" max="1283" width="15.1640625" style="1619" customWidth="1"/>
    <col min="1284" max="1284" width="13.83203125" style="1619" customWidth="1"/>
    <col min="1285" max="1285" width="9.33203125" style="1619"/>
    <col min="1286" max="1286" width="13.1640625" style="1619" customWidth="1"/>
    <col min="1287" max="1287" width="15.6640625" style="1619" customWidth="1"/>
    <col min="1288" max="1536" width="9.33203125" style="1619"/>
    <col min="1537" max="1537" width="69.83203125" style="1619" customWidth="1"/>
    <col min="1538" max="1538" width="10.1640625" style="1619" customWidth="1"/>
    <col min="1539" max="1539" width="15.1640625" style="1619" customWidth="1"/>
    <col min="1540" max="1540" width="13.83203125" style="1619" customWidth="1"/>
    <col min="1541" max="1541" width="9.33203125" style="1619"/>
    <col min="1542" max="1542" width="13.1640625" style="1619" customWidth="1"/>
    <col min="1543" max="1543" width="15.6640625" style="1619" customWidth="1"/>
    <col min="1544" max="1792" width="9.33203125" style="1619"/>
    <col min="1793" max="1793" width="69.83203125" style="1619" customWidth="1"/>
    <col min="1794" max="1794" width="10.1640625" style="1619" customWidth="1"/>
    <col min="1795" max="1795" width="15.1640625" style="1619" customWidth="1"/>
    <col min="1796" max="1796" width="13.83203125" style="1619" customWidth="1"/>
    <col min="1797" max="1797" width="9.33203125" style="1619"/>
    <col min="1798" max="1798" width="13.1640625" style="1619" customWidth="1"/>
    <col min="1799" max="1799" width="15.6640625" style="1619" customWidth="1"/>
    <col min="1800" max="2048" width="9.33203125" style="1619"/>
    <col min="2049" max="2049" width="69.83203125" style="1619" customWidth="1"/>
    <col min="2050" max="2050" width="10.1640625" style="1619" customWidth="1"/>
    <col min="2051" max="2051" width="15.1640625" style="1619" customWidth="1"/>
    <col min="2052" max="2052" width="13.83203125" style="1619" customWidth="1"/>
    <col min="2053" max="2053" width="9.33203125" style="1619"/>
    <col min="2054" max="2054" width="13.1640625" style="1619" customWidth="1"/>
    <col min="2055" max="2055" width="15.6640625" style="1619" customWidth="1"/>
    <col min="2056" max="2304" width="9.33203125" style="1619"/>
    <col min="2305" max="2305" width="69.83203125" style="1619" customWidth="1"/>
    <col min="2306" max="2306" width="10.1640625" style="1619" customWidth="1"/>
    <col min="2307" max="2307" width="15.1640625" style="1619" customWidth="1"/>
    <col min="2308" max="2308" width="13.83203125" style="1619" customWidth="1"/>
    <col min="2309" max="2309" width="9.33203125" style="1619"/>
    <col min="2310" max="2310" width="13.1640625" style="1619" customWidth="1"/>
    <col min="2311" max="2311" width="15.6640625" style="1619" customWidth="1"/>
    <col min="2312" max="2560" width="9.33203125" style="1619"/>
    <col min="2561" max="2561" width="69.83203125" style="1619" customWidth="1"/>
    <col min="2562" max="2562" width="10.1640625" style="1619" customWidth="1"/>
    <col min="2563" max="2563" width="15.1640625" style="1619" customWidth="1"/>
    <col min="2564" max="2564" width="13.83203125" style="1619" customWidth="1"/>
    <col min="2565" max="2565" width="9.33203125" style="1619"/>
    <col min="2566" max="2566" width="13.1640625" style="1619" customWidth="1"/>
    <col min="2567" max="2567" width="15.6640625" style="1619" customWidth="1"/>
    <col min="2568" max="2816" width="9.33203125" style="1619"/>
    <col min="2817" max="2817" width="69.83203125" style="1619" customWidth="1"/>
    <col min="2818" max="2818" width="10.1640625" style="1619" customWidth="1"/>
    <col min="2819" max="2819" width="15.1640625" style="1619" customWidth="1"/>
    <col min="2820" max="2820" width="13.83203125" style="1619" customWidth="1"/>
    <col min="2821" max="2821" width="9.33203125" style="1619"/>
    <col min="2822" max="2822" width="13.1640625" style="1619" customWidth="1"/>
    <col min="2823" max="2823" width="15.6640625" style="1619" customWidth="1"/>
    <col min="2824" max="3072" width="9.33203125" style="1619"/>
    <col min="3073" max="3073" width="69.83203125" style="1619" customWidth="1"/>
    <col min="3074" max="3074" width="10.1640625" style="1619" customWidth="1"/>
    <col min="3075" max="3075" width="15.1640625" style="1619" customWidth="1"/>
    <col min="3076" max="3076" width="13.83203125" style="1619" customWidth="1"/>
    <col min="3077" max="3077" width="9.33203125" style="1619"/>
    <col min="3078" max="3078" width="13.1640625" style="1619" customWidth="1"/>
    <col min="3079" max="3079" width="15.6640625" style="1619" customWidth="1"/>
    <col min="3080" max="3328" width="9.33203125" style="1619"/>
    <col min="3329" max="3329" width="69.83203125" style="1619" customWidth="1"/>
    <col min="3330" max="3330" width="10.1640625" style="1619" customWidth="1"/>
    <col min="3331" max="3331" width="15.1640625" style="1619" customWidth="1"/>
    <col min="3332" max="3332" width="13.83203125" style="1619" customWidth="1"/>
    <col min="3333" max="3333" width="9.33203125" style="1619"/>
    <col min="3334" max="3334" width="13.1640625" style="1619" customWidth="1"/>
    <col min="3335" max="3335" width="15.6640625" style="1619" customWidth="1"/>
    <col min="3336" max="3584" width="9.33203125" style="1619"/>
    <col min="3585" max="3585" width="69.83203125" style="1619" customWidth="1"/>
    <col min="3586" max="3586" width="10.1640625" style="1619" customWidth="1"/>
    <col min="3587" max="3587" width="15.1640625" style="1619" customWidth="1"/>
    <col min="3588" max="3588" width="13.83203125" style="1619" customWidth="1"/>
    <col min="3589" max="3589" width="9.33203125" style="1619"/>
    <col min="3590" max="3590" width="13.1640625" style="1619" customWidth="1"/>
    <col min="3591" max="3591" width="15.6640625" style="1619" customWidth="1"/>
    <col min="3592" max="3840" width="9.33203125" style="1619"/>
    <col min="3841" max="3841" width="69.83203125" style="1619" customWidth="1"/>
    <col min="3842" max="3842" width="10.1640625" style="1619" customWidth="1"/>
    <col min="3843" max="3843" width="15.1640625" style="1619" customWidth="1"/>
    <col min="3844" max="3844" width="13.83203125" style="1619" customWidth="1"/>
    <col min="3845" max="3845" width="9.33203125" style="1619"/>
    <col min="3846" max="3846" width="13.1640625" style="1619" customWidth="1"/>
    <col min="3847" max="3847" width="15.6640625" style="1619" customWidth="1"/>
    <col min="3848" max="4096" width="9.33203125" style="1619"/>
    <col min="4097" max="4097" width="69.83203125" style="1619" customWidth="1"/>
    <col min="4098" max="4098" width="10.1640625" style="1619" customWidth="1"/>
    <col min="4099" max="4099" width="15.1640625" style="1619" customWidth="1"/>
    <col min="4100" max="4100" width="13.83203125" style="1619" customWidth="1"/>
    <col min="4101" max="4101" width="9.33203125" style="1619"/>
    <col min="4102" max="4102" width="13.1640625" style="1619" customWidth="1"/>
    <col min="4103" max="4103" width="15.6640625" style="1619" customWidth="1"/>
    <col min="4104" max="4352" width="9.33203125" style="1619"/>
    <col min="4353" max="4353" width="69.83203125" style="1619" customWidth="1"/>
    <col min="4354" max="4354" width="10.1640625" style="1619" customWidth="1"/>
    <col min="4355" max="4355" width="15.1640625" style="1619" customWidth="1"/>
    <col min="4356" max="4356" width="13.83203125" style="1619" customWidth="1"/>
    <col min="4357" max="4357" width="9.33203125" style="1619"/>
    <col min="4358" max="4358" width="13.1640625" style="1619" customWidth="1"/>
    <col min="4359" max="4359" width="15.6640625" style="1619" customWidth="1"/>
    <col min="4360" max="4608" width="9.33203125" style="1619"/>
    <col min="4609" max="4609" width="69.83203125" style="1619" customWidth="1"/>
    <col min="4610" max="4610" width="10.1640625" style="1619" customWidth="1"/>
    <col min="4611" max="4611" width="15.1640625" style="1619" customWidth="1"/>
    <col min="4612" max="4612" width="13.83203125" style="1619" customWidth="1"/>
    <col min="4613" max="4613" width="9.33203125" style="1619"/>
    <col min="4614" max="4614" width="13.1640625" style="1619" customWidth="1"/>
    <col min="4615" max="4615" width="15.6640625" style="1619" customWidth="1"/>
    <col min="4616" max="4864" width="9.33203125" style="1619"/>
    <col min="4865" max="4865" width="69.83203125" style="1619" customWidth="1"/>
    <col min="4866" max="4866" width="10.1640625" style="1619" customWidth="1"/>
    <col min="4867" max="4867" width="15.1640625" style="1619" customWidth="1"/>
    <col min="4868" max="4868" width="13.83203125" style="1619" customWidth="1"/>
    <col min="4869" max="4869" width="9.33203125" style="1619"/>
    <col min="4870" max="4870" width="13.1640625" style="1619" customWidth="1"/>
    <col min="4871" max="4871" width="15.6640625" style="1619" customWidth="1"/>
    <col min="4872" max="5120" width="9.33203125" style="1619"/>
    <col min="5121" max="5121" width="69.83203125" style="1619" customWidth="1"/>
    <col min="5122" max="5122" width="10.1640625" style="1619" customWidth="1"/>
    <col min="5123" max="5123" width="15.1640625" style="1619" customWidth="1"/>
    <col min="5124" max="5124" width="13.83203125" style="1619" customWidth="1"/>
    <col min="5125" max="5125" width="9.33203125" style="1619"/>
    <col min="5126" max="5126" width="13.1640625" style="1619" customWidth="1"/>
    <col min="5127" max="5127" width="15.6640625" style="1619" customWidth="1"/>
    <col min="5128" max="5376" width="9.33203125" style="1619"/>
    <col min="5377" max="5377" width="69.83203125" style="1619" customWidth="1"/>
    <col min="5378" max="5378" width="10.1640625" style="1619" customWidth="1"/>
    <col min="5379" max="5379" width="15.1640625" style="1619" customWidth="1"/>
    <col min="5380" max="5380" width="13.83203125" style="1619" customWidth="1"/>
    <col min="5381" max="5381" width="9.33203125" style="1619"/>
    <col min="5382" max="5382" width="13.1640625" style="1619" customWidth="1"/>
    <col min="5383" max="5383" width="15.6640625" style="1619" customWidth="1"/>
    <col min="5384" max="5632" width="9.33203125" style="1619"/>
    <col min="5633" max="5633" width="69.83203125" style="1619" customWidth="1"/>
    <col min="5634" max="5634" width="10.1640625" style="1619" customWidth="1"/>
    <col min="5635" max="5635" width="15.1640625" style="1619" customWidth="1"/>
    <col min="5636" max="5636" width="13.83203125" style="1619" customWidth="1"/>
    <col min="5637" max="5637" width="9.33203125" style="1619"/>
    <col min="5638" max="5638" width="13.1640625" style="1619" customWidth="1"/>
    <col min="5639" max="5639" width="15.6640625" style="1619" customWidth="1"/>
    <col min="5640" max="5888" width="9.33203125" style="1619"/>
    <col min="5889" max="5889" width="69.83203125" style="1619" customWidth="1"/>
    <col min="5890" max="5890" width="10.1640625" style="1619" customWidth="1"/>
    <col min="5891" max="5891" width="15.1640625" style="1619" customWidth="1"/>
    <col min="5892" max="5892" width="13.83203125" style="1619" customWidth="1"/>
    <col min="5893" max="5893" width="9.33203125" style="1619"/>
    <col min="5894" max="5894" width="13.1640625" style="1619" customWidth="1"/>
    <col min="5895" max="5895" width="15.6640625" style="1619" customWidth="1"/>
    <col min="5896" max="6144" width="9.33203125" style="1619"/>
    <col min="6145" max="6145" width="69.83203125" style="1619" customWidth="1"/>
    <col min="6146" max="6146" width="10.1640625" style="1619" customWidth="1"/>
    <col min="6147" max="6147" width="15.1640625" style="1619" customWidth="1"/>
    <col min="6148" max="6148" width="13.83203125" style="1619" customWidth="1"/>
    <col min="6149" max="6149" width="9.33203125" style="1619"/>
    <col min="6150" max="6150" width="13.1640625" style="1619" customWidth="1"/>
    <col min="6151" max="6151" width="15.6640625" style="1619" customWidth="1"/>
    <col min="6152" max="6400" width="9.33203125" style="1619"/>
    <col min="6401" max="6401" width="69.83203125" style="1619" customWidth="1"/>
    <col min="6402" max="6402" width="10.1640625" style="1619" customWidth="1"/>
    <col min="6403" max="6403" width="15.1640625" style="1619" customWidth="1"/>
    <col min="6404" max="6404" width="13.83203125" style="1619" customWidth="1"/>
    <col min="6405" max="6405" width="9.33203125" style="1619"/>
    <col min="6406" max="6406" width="13.1640625" style="1619" customWidth="1"/>
    <col min="6407" max="6407" width="15.6640625" style="1619" customWidth="1"/>
    <col min="6408" max="6656" width="9.33203125" style="1619"/>
    <col min="6657" max="6657" width="69.83203125" style="1619" customWidth="1"/>
    <col min="6658" max="6658" width="10.1640625" style="1619" customWidth="1"/>
    <col min="6659" max="6659" width="15.1640625" style="1619" customWidth="1"/>
    <col min="6660" max="6660" width="13.83203125" style="1619" customWidth="1"/>
    <col min="6661" max="6661" width="9.33203125" style="1619"/>
    <col min="6662" max="6662" width="13.1640625" style="1619" customWidth="1"/>
    <col min="6663" max="6663" width="15.6640625" style="1619" customWidth="1"/>
    <col min="6664" max="6912" width="9.33203125" style="1619"/>
    <col min="6913" max="6913" width="69.83203125" style="1619" customWidth="1"/>
    <col min="6914" max="6914" width="10.1640625" style="1619" customWidth="1"/>
    <col min="6915" max="6915" width="15.1640625" style="1619" customWidth="1"/>
    <col min="6916" max="6916" width="13.83203125" style="1619" customWidth="1"/>
    <col min="6917" max="6917" width="9.33203125" style="1619"/>
    <col min="6918" max="6918" width="13.1640625" style="1619" customWidth="1"/>
    <col min="6919" max="6919" width="15.6640625" style="1619" customWidth="1"/>
    <col min="6920" max="7168" width="9.33203125" style="1619"/>
    <col min="7169" max="7169" width="69.83203125" style="1619" customWidth="1"/>
    <col min="7170" max="7170" width="10.1640625" style="1619" customWidth="1"/>
    <col min="7171" max="7171" width="15.1640625" style="1619" customWidth="1"/>
    <col min="7172" max="7172" width="13.83203125" style="1619" customWidth="1"/>
    <col min="7173" max="7173" width="9.33203125" style="1619"/>
    <col min="7174" max="7174" width="13.1640625" style="1619" customWidth="1"/>
    <col min="7175" max="7175" width="15.6640625" style="1619" customWidth="1"/>
    <col min="7176" max="7424" width="9.33203125" style="1619"/>
    <col min="7425" max="7425" width="69.83203125" style="1619" customWidth="1"/>
    <col min="7426" max="7426" width="10.1640625" style="1619" customWidth="1"/>
    <col min="7427" max="7427" width="15.1640625" style="1619" customWidth="1"/>
    <col min="7428" max="7428" width="13.83203125" style="1619" customWidth="1"/>
    <col min="7429" max="7429" width="9.33203125" style="1619"/>
    <col min="7430" max="7430" width="13.1640625" style="1619" customWidth="1"/>
    <col min="7431" max="7431" width="15.6640625" style="1619" customWidth="1"/>
    <col min="7432" max="7680" width="9.33203125" style="1619"/>
    <col min="7681" max="7681" width="69.83203125" style="1619" customWidth="1"/>
    <col min="7682" max="7682" width="10.1640625" style="1619" customWidth="1"/>
    <col min="7683" max="7683" width="15.1640625" style="1619" customWidth="1"/>
    <col min="7684" max="7684" width="13.83203125" style="1619" customWidth="1"/>
    <col min="7685" max="7685" width="9.33203125" style="1619"/>
    <col min="7686" max="7686" width="13.1640625" style="1619" customWidth="1"/>
    <col min="7687" max="7687" width="15.6640625" style="1619" customWidth="1"/>
    <col min="7688" max="7936" width="9.33203125" style="1619"/>
    <col min="7937" max="7937" width="69.83203125" style="1619" customWidth="1"/>
    <col min="7938" max="7938" width="10.1640625" style="1619" customWidth="1"/>
    <col min="7939" max="7939" width="15.1640625" style="1619" customWidth="1"/>
    <col min="7940" max="7940" width="13.83203125" style="1619" customWidth="1"/>
    <col min="7941" max="7941" width="9.33203125" style="1619"/>
    <col min="7942" max="7942" width="13.1640625" style="1619" customWidth="1"/>
    <col min="7943" max="7943" width="15.6640625" style="1619" customWidth="1"/>
    <col min="7944" max="8192" width="9.33203125" style="1619"/>
    <col min="8193" max="8193" width="69.83203125" style="1619" customWidth="1"/>
    <col min="8194" max="8194" width="10.1640625" style="1619" customWidth="1"/>
    <col min="8195" max="8195" width="15.1640625" style="1619" customWidth="1"/>
    <col min="8196" max="8196" width="13.83203125" style="1619" customWidth="1"/>
    <col min="8197" max="8197" width="9.33203125" style="1619"/>
    <col min="8198" max="8198" width="13.1640625" style="1619" customWidth="1"/>
    <col min="8199" max="8199" width="15.6640625" style="1619" customWidth="1"/>
    <col min="8200" max="8448" width="9.33203125" style="1619"/>
    <col min="8449" max="8449" width="69.83203125" style="1619" customWidth="1"/>
    <col min="8450" max="8450" width="10.1640625" style="1619" customWidth="1"/>
    <col min="8451" max="8451" width="15.1640625" style="1619" customWidth="1"/>
    <col min="8452" max="8452" width="13.83203125" style="1619" customWidth="1"/>
    <col min="8453" max="8453" width="9.33203125" style="1619"/>
    <col min="8454" max="8454" width="13.1640625" style="1619" customWidth="1"/>
    <col min="8455" max="8455" width="15.6640625" style="1619" customWidth="1"/>
    <col min="8456" max="8704" width="9.33203125" style="1619"/>
    <col min="8705" max="8705" width="69.83203125" style="1619" customWidth="1"/>
    <col min="8706" max="8706" width="10.1640625" style="1619" customWidth="1"/>
    <col min="8707" max="8707" width="15.1640625" style="1619" customWidth="1"/>
    <col min="8708" max="8708" width="13.83203125" style="1619" customWidth="1"/>
    <col min="8709" max="8709" width="9.33203125" style="1619"/>
    <col min="8710" max="8710" width="13.1640625" style="1619" customWidth="1"/>
    <col min="8711" max="8711" width="15.6640625" style="1619" customWidth="1"/>
    <col min="8712" max="8960" width="9.33203125" style="1619"/>
    <col min="8961" max="8961" width="69.83203125" style="1619" customWidth="1"/>
    <col min="8962" max="8962" width="10.1640625" style="1619" customWidth="1"/>
    <col min="8963" max="8963" width="15.1640625" style="1619" customWidth="1"/>
    <col min="8964" max="8964" width="13.83203125" style="1619" customWidth="1"/>
    <col min="8965" max="8965" width="9.33203125" style="1619"/>
    <col min="8966" max="8966" width="13.1640625" style="1619" customWidth="1"/>
    <col min="8967" max="8967" width="15.6640625" style="1619" customWidth="1"/>
    <col min="8968" max="9216" width="9.33203125" style="1619"/>
    <col min="9217" max="9217" width="69.83203125" style="1619" customWidth="1"/>
    <col min="9218" max="9218" width="10.1640625" style="1619" customWidth="1"/>
    <col min="9219" max="9219" width="15.1640625" style="1619" customWidth="1"/>
    <col min="9220" max="9220" width="13.83203125" style="1619" customWidth="1"/>
    <col min="9221" max="9221" width="9.33203125" style="1619"/>
    <col min="9222" max="9222" width="13.1640625" style="1619" customWidth="1"/>
    <col min="9223" max="9223" width="15.6640625" style="1619" customWidth="1"/>
    <col min="9224" max="9472" width="9.33203125" style="1619"/>
    <col min="9473" max="9473" width="69.83203125" style="1619" customWidth="1"/>
    <col min="9474" max="9474" width="10.1640625" style="1619" customWidth="1"/>
    <col min="9475" max="9475" width="15.1640625" style="1619" customWidth="1"/>
    <col min="9476" max="9476" width="13.83203125" style="1619" customWidth="1"/>
    <col min="9477" max="9477" width="9.33203125" style="1619"/>
    <col min="9478" max="9478" width="13.1640625" style="1619" customWidth="1"/>
    <col min="9479" max="9479" width="15.6640625" style="1619" customWidth="1"/>
    <col min="9480" max="9728" width="9.33203125" style="1619"/>
    <col min="9729" max="9729" width="69.83203125" style="1619" customWidth="1"/>
    <col min="9730" max="9730" width="10.1640625" style="1619" customWidth="1"/>
    <col min="9731" max="9731" width="15.1640625" style="1619" customWidth="1"/>
    <col min="9732" max="9732" width="13.83203125" style="1619" customWidth="1"/>
    <col min="9733" max="9733" width="9.33203125" style="1619"/>
    <col min="9734" max="9734" width="13.1640625" style="1619" customWidth="1"/>
    <col min="9735" max="9735" width="15.6640625" style="1619" customWidth="1"/>
    <col min="9736" max="9984" width="9.33203125" style="1619"/>
    <col min="9985" max="9985" width="69.83203125" style="1619" customWidth="1"/>
    <col min="9986" max="9986" width="10.1640625" style="1619" customWidth="1"/>
    <col min="9987" max="9987" width="15.1640625" style="1619" customWidth="1"/>
    <col min="9988" max="9988" width="13.83203125" style="1619" customWidth="1"/>
    <col min="9989" max="9989" width="9.33203125" style="1619"/>
    <col min="9990" max="9990" width="13.1640625" style="1619" customWidth="1"/>
    <col min="9991" max="9991" width="15.6640625" style="1619" customWidth="1"/>
    <col min="9992" max="10240" width="9.33203125" style="1619"/>
    <col min="10241" max="10241" width="69.83203125" style="1619" customWidth="1"/>
    <col min="10242" max="10242" width="10.1640625" style="1619" customWidth="1"/>
    <col min="10243" max="10243" width="15.1640625" style="1619" customWidth="1"/>
    <col min="10244" max="10244" width="13.83203125" style="1619" customWidth="1"/>
    <col min="10245" max="10245" width="9.33203125" style="1619"/>
    <col min="10246" max="10246" width="13.1640625" style="1619" customWidth="1"/>
    <col min="10247" max="10247" width="15.6640625" style="1619" customWidth="1"/>
    <col min="10248" max="10496" width="9.33203125" style="1619"/>
    <col min="10497" max="10497" width="69.83203125" style="1619" customWidth="1"/>
    <col min="10498" max="10498" width="10.1640625" style="1619" customWidth="1"/>
    <col min="10499" max="10499" width="15.1640625" style="1619" customWidth="1"/>
    <col min="10500" max="10500" width="13.83203125" style="1619" customWidth="1"/>
    <col min="10501" max="10501" width="9.33203125" style="1619"/>
    <col min="10502" max="10502" width="13.1640625" style="1619" customWidth="1"/>
    <col min="10503" max="10503" width="15.6640625" style="1619" customWidth="1"/>
    <col min="10504" max="10752" width="9.33203125" style="1619"/>
    <col min="10753" max="10753" width="69.83203125" style="1619" customWidth="1"/>
    <col min="10754" max="10754" width="10.1640625" style="1619" customWidth="1"/>
    <col min="10755" max="10755" width="15.1640625" style="1619" customWidth="1"/>
    <col min="10756" max="10756" width="13.83203125" style="1619" customWidth="1"/>
    <col min="10757" max="10757" width="9.33203125" style="1619"/>
    <col min="10758" max="10758" width="13.1640625" style="1619" customWidth="1"/>
    <col min="10759" max="10759" width="15.6640625" style="1619" customWidth="1"/>
    <col min="10760" max="11008" width="9.33203125" style="1619"/>
    <col min="11009" max="11009" width="69.83203125" style="1619" customWidth="1"/>
    <col min="11010" max="11010" width="10.1640625" style="1619" customWidth="1"/>
    <col min="11011" max="11011" width="15.1640625" style="1619" customWidth="1"/>
    <col min="11012" max="11012" width="13.83203125" style="1619" customWidth="1"/>
    <col min="11013" max="11013" width="9.33203125" style="1619"/>
    <col min="11014" max="11014" width="13.1640625" style="1619" customWidth="1"/>
    <col min="11015" max="11015" width="15.6640625" style="1619" customWidth="1"/>
    <col min="11016" max="11264" width="9.33203125" style="1619"/>
    <col min="11265" max="11265" width="69.83203125" style="1619" customWidth="1"/>
    <col min="11266" max="11266" width="10.1640625" style="1619" customWidth="1"/>
    <col min="11267" max="11267" width="15.1640625" style="1619" customWidth="1"/>
    <col min="11268" max="11268" width="13.83203125" style="1619" customWidth="1"/>
    <col min="11269" max="11269" width="9.33203125" style="1619"/>
    <col min="11270" max="11270" width="13.1640625" style="1619" customWidth="1"/>
    <col min="11271" max="11271" width="15.6640625" style="1619" customWidth="1"/>
    <col min="11272" max="11520" width="9.33203125" style="1619"/>
    <col min="11521" max="11521" width="69.83203125" style="1619" customWidth="1"/>
    <col min="11522" max="11522" width="10.1640625" style="1619" customWidth="1"/>
    <col min="11523" max="11523" width="15.1640625" style="1619" customWidth="1"/>
    <col min="11524" max="11524" width="13.83203125" style="1619" customWidth="1"/>
    <col min="11525" max="11525" width="9.33203125" style="1619"/>
    <col min="11526" max="11526" width="13.1640625" style="1619" customWidth="1"/>
    <col min="11527" max="11527" width="15.6640625" style="1619" customWidth="1"/>
    <col min="11528" max="11776" width="9.33203125" style="1619"/>
    <col min="11777" max="11777" width="69.83203125" style="1619" customWidth="1"/>
    <col min="11778" max="11778" width="10.1640625" style="1619" customWidth="1"/>
    <col min="11779" max="11779" width="15.1640625" style="1619" customWidth="1"/>
    <col min="11780" max="11780" width="13.83203125" style="1619" customWidth="1"/>
    <col min="11781" max="11781" width="9.33203125" style="1619"/>
    <col min="11782" max="11782" width="13.1640625" style="1619" customWidth="1"/>
    <col min="11783" max="11783" width="15.6640625" style="1619" customWidth="1"/>
    <col min="11784" max="12032" width="9.33203125" style="1619"/>
    <col min="12033" max="12033" width="69.83203125" style="1619" customWidth="1"/>
    <col min="12034" max="12034" width="10.1640625" style="1619" customWidth="1"/>
    <col min="12035" max="12035" width="15.1640625" style="1619" customWidth="1"/>
    <col min="12036" max="12036" width="13.83203125" style="1619" customWidth="1"/>
    <col min="12037" max="12037" width="9.33203125" style="1619"/>
    <col min="12038" max="12038" width="13.1640625" style="1619" customWidth="1"/>
    <col min="12039" max="12039" width="15.6640625" style="1619" customWidth="1"/>
    <col min="12040" max="12288" width="9.33203125" style="1619"/>
    <col min="12289" max="12289" width="69.83203125" style="1619" customWidth="1"/>
    <col min="12290" max="12290" width="10.1640625" style="1619" customWidth="1"/>
    <col min="12291" max="12291" width="15.1640625" style="1619" customWidth="1"/>
    <col min="12292" max="12292" width="13.83203125" style="1619" customWidth="1"/>
    <col min="12293" max="12293" width="9.33203125" style="1619"/>
    <col min="12294" max="12294" width="13.1640625" style="1619" customWidth="1"/>
    <col min="12295" max="12295" width="15.6640625" style="1619" customWidth="1"/>
    <col min="12296" max="12544" width="9.33203125" style="1619"/>
    <col min="12545" max="12545" width="69.83203125" style="1619" customWidth="1"/>
    <col min="12546" max="12546" width="10.1640625" style="1619" customWidth="1"/>
    <col min="12547" max="12547" width="15.1640625" style="1619" customWidth="1"/>
    <col min="12548" max="12548" width="13.83203125" style="1619" customWidth="1"/>
    <col min="12549" max="12549" width="9.33203125" style="1619"/>
    <col min="12550" max="12550" width="13.1640625" style="1619" customWidth="1"/>
    <col min="12551" max="12551" width="15.6640625" style="1619" customWidth="1"/>
    <col min="12552" max="12800" width="9.33203125" style="1619"/>
    <col min="12801" max="12801" width="69.83203125" style="1619" customWidth="1"/>
    <col min="12802" max="12802" width="10.1640625" style="1619" customWidth="1"/>
    <col min="12803" max="12803" width="15.1640625" style="1619" customWidth="1"/>
    <col min="12804" max="12804" width="13.83203125" style="1619" customWidth="1"/>
    <col min="12805" max="12805" width="9.33203125" style="1619"/>
    <col min="12806" max="12806" width="13.1640625" style="1619" customWidth="1"/>
    <col min="12807" max="12807" width="15.6640625" style="1619" customWidth="1"/>
    <col min="12808" max="13056" width="9.33203125" style="1619"/>
    <col min="13057" max="13057" width="69.83203125" style="1619" customWidth="1"/>
    <col min="13058" max="13058" width="10.1640625" style="1619" customWidth="1"/>
    <col min="13059" max="13059" width="15.1640625" style="1619" customWidth="1"/>
    <col min="13060" max="13060" width="13.83203125" style="1619" customWidth="1"/>
    <col min="13061" max="13061" width="9.33203125" style="1619"/>
    <col min="13062" max="13062" width="13.1640625" style="1619" customWidth="1"/>
    <col min="13063" max="13063" width="15.6640625" style="1619" customWidth="1"/>
    <col min="13064" max="13312" width="9.33203125" style="1619"/>
    <col min="13313" max="13313" width="69.83203125" style="1619" customWidth="1"/>
    <col min="13314" max="13314" width="10.1640625" style="1619" customWidth="1"/>
    <col min="13315" max="13315" width="15.1640625" style="1619" customWidth="1"/>
    <col min="13316" max="13316" width="13.83203125" style="1619" customWidth="1"/>
    <col min="13317" max="13317" width="9.33203125" style="1619"/>
    <col min="13318" max="13318" width="13.1640625" style="1619" customWidth="1"/>
    <col min="13319" max="13319" width="15.6640625" style="1619" customWidth="1"/>
    <col min="13320" max="13568" width="9.33203125" style="1619"/>
    <col min="13569" max="13569" width="69.83203125" style="1619" customWidth="1"/>
    <col min="13570" max="13570" width="10.1640625" style="1619" customWidth="1"/>
    <col min="13571" max="13571" width="15.1640625" style="1619" customWidth="1"/>
    <col min="13572" max="13572" width="13.83203125" style="1619" customWidth="1"/>
    <col min="13573" max="13573" width="9.33203125" style="1619"/>
    <col min="13574" max="13574" width="13.1640625" style="1619" customWidth="1"/>
    <col min="13575" max="13575" width="15.6640625" style="1619" customWidth="1"/>
    <col min="13576" max="13824" width="9.33203125" style="1619"/>
    <col min="13825" max="13825" width="69.83203125" style="1619" customWidth="1"/>
    <col min="13826" max="13826" width="10.1640625" style="1619" customWidth="1"/>
    <col min="13827" max="13827" width="15.1640625" style="1619" customWidth="1"/>
    <col min="13828" max="13828" width="13.83203125" style="1619" customWidth="1"/>
    <col min="13829" max="13829" width="9.33203125" style="1619"/>
    <col min="13830" max="13830" width="13.1640625" style="1619" customWidth="1"/>
    <col min="13831" max="13831" width="15.6640625" style="1619" customWidth="1"/>
    <col min="13832" max="14080" width="9.33203125" style="1619"/>
    <col min="14081" max="14081" width="69.83203125" style="1619" customWidth="1"/>
    <col min="14082" max="14082" width="10.1640625" style="1619" customWidth="1"/>
    <col min="14083" max="14083" width="15.1640625" style="1619" customWidth="1"/>
    <col min="14084" max="14084" width="13.83203125" style="1619" customWidth="1"/>
    <col min="14085" max="14085" width="9.33203125" style="1619"/>
    <col min="14086" max="14086" width="13.1640625" style="1619" customWidth="1"/>
    <col min="14087" max="14087" width="15.6640625" style="1619" customWidth="1"/>
    <col min="14088" max="14336" width="9.33203125" style="1619"/>
    <col min="14337" max="14337" width="69.83203125" style="1619" customWidth="1"/>
    <col min="14338" max="14338" width="10.1640625" style="1619" customWidth="1"/>
    <col min="14339" max="14339" width="15.1640625" style="1619" customWidth="1"/>
    <col min="14340" max="14340" width="13.83203125" style="1619" customWidth="1"/>
    <col min="14341" max="14341" width="9.33203125" style="1619"/>
    <col min="14342" max="14342" width="13.1640625" style="1619" customWidth="1"/>
    <col min="14343" max="14343" width="15.6640625" style="1619" customWidth="1"/>
    <col min="14344" max="14592" width="9.33203125" style="1619"/>
    <col min="14593" max="14593" width="69.83203125" style="1619" customWidth="1"/>
    <col min="14594" max="14594" width="10.1640625" style="1619" customWidth="1"/>
    <col min="14595" max="14595" width="15.1640625" style="1619" customWidth="1"/>
    <col min="14596" max="14596" width="13.83203125" style="1619" customWidth="1"/>
    <col min="14597" max="14597" width="9.33203125" style="1619"/>
    <col min="14598" max="14598" width="13.1640625" style="1619" customWidth="1"/>
    <col min="14599" max="14599" width="15.6640625" style="1619" customWidth="1"/>
    <col min="14600" max="14848" width="9.33203125" style="1619"/>
    <col min="14849" max="14849" width="69.83203125" style="1619" customWidth="1"/>
    <col min="14850" max="14850" width="10.1640625" style="1619" customWidth="1"/>
    <col min="14851" max="14851" width="15.1640625" style="1619" customWidth="1"/>
    <col min="14852" max="14852" width="13.83203125" style="1619" customWidth="1"/>
    <col min="14853" max="14853" width="9.33203125" style="1619"/>
    <col min="14854" max="14854" width="13.1640625" style="1619" customWidth="1"/>
    <col min="14855" max="14855" width="15.6640625" style="1619" customWidth="1"/>
    <col min="14856" max="15104" width="9.33203125" style="1619"/>
    <col min="15105" max="15105" width="69.83203125" style="1619" customWidth="1"/>
    <col min="15106" max="15106" width="10.1640625" style="1619" customWidth="1"/>
    <col min="15107" max="15107" width="15.1640625" style="1619" customWidth="1"/>
    <col min="15108" max="15108" width="13.83203125" style="1619" customWidth="1"/>
    <col min="15109" max="15109" width="9.33203125" style="1619"/>
    <col min="15110" max="15110" width="13.1640625" style="1619" customWidth="1"/>
    <col min="15111" max="15111" width="15.6640625" style="1619" customWidth="1"/>
    <col min="15112" max="15360" width="9.33203125" style="1619"/>
    <col min="15361" max="15361" width="69.83203125" style="1619" customWidth="1"/>
    <col min="15362" max="15362" width="10.1640625" style="1619" customWidth="1"/>
    <col min="15363" max="15363" width="15.1640625" style="1619" customWidth="1"/>
    <col min="15364" max="15364" width="13.83203125" style="1619" customWidth="1"/>
    <col min="15365" max="15365" width="9.33203125" style="1619"/>
    <col min="15366" max="15366" width="13.1640625" style="1619" customWidth="1"/>
    <col min="15367" max="15367" width="15.6640625" style="1619" customWidth="1"/>
    <col min="15368" max="15616" width="9.33203125" style="1619"/>
    <col min="15617" max="15617" width="69.83203125" style="1619" customWidth="1"/>
    <col min="15618" max="15618" width="10.1640625" style="1619" customWidth="1"/>
    <col min="15619" max="15619" width="15.1640625" style="1619" customWidth="1"/>
    <col min="15620" max="15620" width="13.83203125" style="1619" customWidth="1"/>
    <col min="15621" max="15621" width="9.33203125" style="1619"/>
    <col min="15622" max="15622" width="13.1640625" style="1619" customWidth="1"/>
    <col min="15623" max="15623" width="15.6640625" style="1619" customWidth="1"/>
    <col min="15624" max="15872" width="9.33203125" style="1619"/>
    <col min="15873" max="15873" width="69.83203125" style="1619" customWidth="1"/>
    <col min="15874" max="15874" width="10.1640625" style="1619" customWidth="1"/>
    <col min="15875" max="15875" width="15.1640625" style="1619" customWidth="1"/>
    <col min="15876" max="15876" width="13.83203125" style="1619" customWidth="1"/>
    <col min="15877" max="15877" width="9.33203125" style="1619"/>
    <col min="15878" max="15878" width="13.1640625" style="1619" customWidth="1"/>
    <col min="15879" max="15879" width="15.6640625" style="1619" customWidth="1"/>
    <col min="15880" max="16128" width="9.33203125" style="1619"/>
    <col min="16129" max="16129" width="69.83203125" style="1619" customWidth="1"/>
    <col min="16130" max="16130" width="10.1640625" style="1619" customWidth="1"/>
    <col min="16131" max="16131" width="15.1640625" style="1619" customWidth="1"/>
    <col min="16132" max="16132" width="13.83203125" style="1619" customWidth="1"/>
    <col min="16133" max="16133" width="9.33203125" style="1619"/>
    <col min="16134" max="16134" width="13.1640625" style="1619" customWidth="1"/>
    <col min="16135" max="16135" width="15.6640625" style="1619" customWidth="1"/>
    <col min="16136" max="16384" width="9.33203125" style="1619"/>
  </cols>
  <sheetData>
    <row r="1" spans="1:11" ht="75.75" customHeight="1">
      <c r="A1" s="2006" t="s">
        <v>2456</v>
      </c>
      <c r="B1" s="2006"/>
      <c r="C1" s="2006"/>
      <c r="D1" s="2006"/>
    </row>
    <row r="2" spans="1:11" ht="16.5" thickBot="1">
      <c r="D2" s="1622" t="s">
        <v>2335</v>
      </c>
    </row>
    <row r="3" spans="1:11" ht="15.95" customHeight="1" thickBot="1">
      <c r="A3" s="2007" t="s">
        <v>2336</v>
      </c>
      <c r="B3" s="2008" t="s">
        <v>2337</v>
      </c>
      <c r="C3" s="2009" t="s">
        <v>2338</v>
      </c>
      <c r="D3" s="2010" t="s">
        <v>2339</v>
      </c>
      <c r="F3" s="2018" t="s">
        <v>2425</v>
      </c>
      <c r="G3" s="1623" t="s">
        <v>2426</v>
      </c>
    </row>
    <row r="4" spans="1:11" ht="16.5" thickBot="1">
      <c r="A4" s="2007"/>
      <c r="B4" s="2008"/>
      <c r="C4" s="2009"/>
      <c r="D4" s="2010"/>
      <c r="F4" s="2018"/>
      <c r="I4" s="1619" t="s">
        <v>2459</v>
      </c>
      <c r="J4" s="1619" t="s">
        <v>514</v>
      </c>
    </row>
    <row r="5" spans="1:11" ht="16.5" thickBot="1">
      <c r="A5" s="1680" t="s">
        <v>2427</v>
      </c>
      <c r="B5" s="1681">
        <v>1</v>
      </c>
      <c r="C5" s="1682">
        <f>C6+C7</f>
        <v>74098</v>
      </c>
      <c r="D5" s="1682">
        <f>D6+D7</f>
        <v>0</v>
      </c>
      <c r="F5" s="1682">
        <f>F6+F7</f>
        <v>57704</v>
      </c>
      <c r="G5" s="1682">
        <f>G6+G7</f>
        <v>16394</v>
      </c>
      <c r="I5" s="1627">
        <v>74098</v>
      </c>
      <c r="J5" s="1627">
        <f>SUM(I5-G5)</f>
        <v>57704</v>
      </c>
      <c r="K5" s="1627"/>
    </row>
    <row r="6" spans="1:11">
      <c r="A6" s="1683" t="s">
        <v>2428</v>
      </c>
      <c r="B6" s="1684">
        <v>2</v>
      </c>
      <c r="C6" s="1685">
        <f>SUM(F6+G6)</f>
        <v>74098</v>
      </c>
      <c r="D6" s="1685">
        <v>0</v>
      </c>
      <c r="F6" s="1685">
        <v>57704</v>
      </c>
      <c r="G6" s="1685">
        <v>16394</v>
      </c>
      <c r="I6" s="1627"/>
      <c r="J6" s="1627"/>
      <c r="K6" s="1627"/>
    </row>
    <row r="7" spans="1:11" ht="16.5" thickBot="1">
      <c r="A7" s="1686" t="s">
        <v>2429</v>
      </c>
      <c r="B7" s="1687">
        <v>3</v>
      </c>
      <c r="C7" s="1688"/>
      <c r="D7" s="1688">
        <v>0</v>
      </c>
      <c r="F7" s="1688"/>
      <c r="G7" s="1688"/>
      <c r="I7" s="1627"/>
      <c r="J7" s="1627">
        <f t="shared" ref="J7:J24" si="0">SUM(I7-G7)</f>
        <v>0</v>
      </c>
      <c r="K7" s="1627"/>
    </row>
    <row r="8" spans="1:11" ht="16.5" thickBot="1">
      <c r="A8" s="1680" t="s">
        <v>2430</v>
      </c>
      <c r="B8" s="1681">
        <v>4</v>
      </c>
      <c r="C8" s="1682">
        <f>C9+C12+C15+C18</f>
        <v>328548</v>
      </c>
      <c r="D8" s="1682">
        <f>D9+D12+D15+D18</f>
        <v>0</v>
      </c>
      <c r="F8" s="1682">
        <f>F9+F12+F15+F18</f>
        <v>191946</v>
      </c>
      <c r="G8" s="1682">
        <f>G9+G12+G15+G18</f>
        <v>136602</v>
      </c>
      <c r="I8" s="1627">
        <v>296216</v>
      </c>
      <c r="J8" s="1627">
        <f t="shared" si="0"/>
        <v>159614</v>
      </c>
      <c r="K8" s="1627"/>
    </row>
    <row r="9" spans="1:11">
      <c r="A9" s="1689" t="s">
        <v>2431</v>
      </c>
      <c r="B9" s="1690">
        <v>5</v>
      </c>
      <c r="C9" s="1691">
        <f>C10+C11</f>
        <v>0</v>
      </c>
      <c r="D9" s="1691">
        <f>D10+D11</f>
        <v>0</v>
      </c>
      <c r="F9" s="1691">
        <f>F10+F11</f>
        <v>0</v>
      </c>
      <c r="G9" s="1691">
        <f>G10+G11</f>
        <v>0</v>
      </c>
      <c r="I9" s="1627"/>
      <c r="J9" s="1627">
        <f t="shared" si="0"/>
        <v>0</v>
      </c>
      <c r="K9" s="1627"/>
    </row>
    <row r="10" spans="1:11">
      <c r="A10" s="1683" t="s">
        <v>2428</v>
      </c>
      <c r="B10" s="1684">
        <v>6</v>
      </c>
      <c r="C10" s="1685"/>
      <c r="D10" s="1685">
        <v>0</v>
      </c>
      <c r="F10" s="1685"/>
      <c r="G10" s="1685"/>
      <c r="I10" s="1627"/>
      <c r="J10" s="1627">
        <f t="shared" si="0"/>
        <v>0</v>
      </c>
      <c r="K10" s="1627"/>
    </row>
    <row r="11" spans="1:11">
      <c r="A11" s="1692" t="s">
        <v>2429</v>
      </c>
      <c r="B11" s="1693">
        <v>7</v>
      </c>
      <c r="C11" s="1694"/>
      <c r="D11" s="1694">
        <v>0</v>
      </c>
      <c r="F11" s="1694"/>
      <c r="G11" s="1694"/>
      <c r="I11" s="1627"/>
      <c r="J11" s="1627">
        <f t="shared" si="0"/>
        <v>0</v>
      </c>
      <c r="K11" s="1627"/>
    </row>
    <row r="12" spans="1:11">
      <c r="A12" s="1692" t="s">
        <v>2432</v>
      </c>
      <c r="B12" s="1693">
        <v>8</v>
      </c>
      <c r="C12" s="1694">
        <f>C13+C14</f>
        <v>296216</v>
      </c>
      <c r="D12" s="1694">
        <f>D13+D14</f>
        <v>0</v>
      </c>
      <c r="F12" s="1694">
        <f>F13+F14</f>
        <v>163339</v>
      </c>
      <c r="G12" s="1694">
        <f>G13+G14</f>
        <v>132877</v>
      </c>
      <c r="I12" s="1627"/>
      <c r="J12" s="1627"/>
      <c r="K12" s="1627"/>
    </row>
    <row r="13" spans="1:11">
      <c r="A13" s="1692" t="s">
        <v>2428</v>
      </c>
      <c r="B13" s="1693">
        <v>9</v>
      </c>
      <c r="C13" s="1694">
        <f>SUM(F13+G13)</f>
        <v>296216</v>
      </c>
      <c r="D13" s="1694">
        <v>0</v>
      </c>
      <c r="F13" s="1694">
        <v>163339</v>
      </c>
      <c r="G13" s="1694">
        <v>132877</v>
      </c>
      <c r="I13" s="1627"/>
      <c r="J13" s="1627"/>
      <c r="K13" s="1627"/>
    </row>
    <row r="14" spans="1:11">
      <c r="A14" s="1692" t="s">
        <v>2429</v>
      </c>
      <c r="B14" s="1693">
        <v>10</v>
      </c>
      <c r="C14" s="1694"/>
      <c r="D14" s="1694">
        <v>0</v>
      </c>
      <c r="F14" s="1694"/>
      <c r="G14" s="1694"/>
      <c r="I14" s="1627"/>
      <c r="J14" s="1627">
        <f t="shared" si="0"/>
        <v>0</v>
      </c>
      <c r="K14" s="1627"/>
    </row>
    <row r="15" spans="1:11">
      <c r="A15" s="1692" t="s">
        <v>2433</v>
      </c>
      <c r="B15" s="1693">
        <v>11</v>
      </c>
      <c r="C15" s="1694">
        <f>C16+C17</f>
        <v>32332</v>
      </c>
      <c r="D15" s="1694">
        <f>D16+D17</f>
        <v>0</v>
      </c>
      <c r="F15" s="1694">
        <f>F16+F17</f>
        <v>28607</v>
      </c>
      <c r="G15" s="1694">
        <f>G16+G17</f>
        <v>3725</v>
      </c>
      <c r="I15" s="1627">
        <v>32332</v>
      </c>
      <c r="J15" s="1627">
        <f t="shared" si="0"/>
        <v>28607</v>
      </c>
      <c r="K15" s="1627"/>
    </row>
    <row r="16" spans="1:11">
      <c r="A16" s="1692" t="s">
        <v>2428</v>
      </c>
      <c r="B16" s="1693">
        <v>12</v>
      </c>
      <c r="C16" s="1694">
        <f>SUM(F16+G16)</f>
        <v>32332</v>
      </c>
      <c r="D16" s="1694">
        <v>0</v>
      </c>
      <c r="F16" s="1694">
        <v>28607</v>
      </c>
      <c r="G16" s="1694">
        <v>3725</v>
      </c>
      <c r="I16" s="1627"/>
      <c r="J16" s="1627"/>
      <c r="K16" s="1627"/>
    </row>
    <row r="17" spans="1:11">
      <c r="A17" s="1692" t="s">
        <v>2429</v>
      </c>
      <c r="B17" s="1693">
        <v>13</v>
      </c>
      <c r="C17" s="1694"/>
      <c r="D17" s="1694">
        <v>0</v>
      </c>
      <c r="F17" s="1694"/>
      <c r="G17" s="1694"/>
      <c r="I17" s="1627"/>
      <c r="J17" s="1627">
        <f t="shared" si="0"/>
        <v>0</v>
      </c>
      <c r="K17" s="1627"/>
    </row>
    <row r="18" spans="1:11">
      <c r="A18" s="1692" t="s">
        <v>2434</v>
      </c>
      <c r="B18" s="1693">
        <v>14</v>
      </c>
      <c r="C18" s="1694">
        <f>C19+C20</f>
        <v>0</v>
      </c>
      <c r="D18" s="1694">
        <f>D19+D20</f>
        <v>0</v>
      </c>
      <c r="F18" s="1694">
        <f>F19+F20</f>
        <v>0</v>
      </c>
      <c r="G18" s="1694">
        <f>G19+G20</f>
        <v>0</v>
      </c>
      <c r="I18" s="1627"/>
      <c r="J18" s="1627">
        <f t="shared" si="0"/>
        <v>0</v>
      </c>
      <c r="K18" s="1627"/>
    </row>
    <row r="19" spans="1:11">
      <c r="A19" s="1692" t="s">
        <v>2428</v>
      </c>
      <c r="B19" s="1693">
        <v>15</v>
      </c>
      <c r="C19" s="1694"/>
      <c r="D19" s="1694">
        <v>0</v>
      </c>
      <c r="F19" s="1694"/>
      <c r="G19" s="1694"/>
      <c r="I19" s="1627"/>
      <c r="J19" s="1627">
        <f t="shared" si="0"/>
        <v>0</v>
      </c>
      <c r="K19" s="1627"/>
    </row>
    <row r="20" spans="1:11" ht="16.5" thickBot="1">
      <c r="A20" s="1686" t="s">
        <v>2429</v>
      </c>
      <c r="B20" s="1687">
        <v>16</v>
      </c>
      <c r="C20" s="1688"/>
      <c r="D20" s="1688">
        <v>0</v>
      </c>
      <c r="F20" s="1688"/>
      <c r="G20" s="1688"/>
      <c r="I20" s="1627"/>
      <c r="J20" s="1627">
        <f t="shared" si="0"/>
        <v>0</v>
      </c>
      <c r="K20" s="1627"/>
    </row>
    <row r="21" spans="1:11" ht="26.25" thickBot="1">
      <c r="A21" s="1695" t="s">
        <v>2435</v>
      </c>
      <c r="B21" s="1681">
        <v>17</v>
      </c>
      <c r="C21" s="1682">
        <f>C22+C23</f>
        <v>55553</v>
      </c>
      <c r="D21" s="1682">
        <f>D22+D23</f>
        <v>0</v>
      </c>
      <c r="F21" s="1682">
        <f>F22+F23</f>
        <v>55553</v>
      </c>
      <c r="G21" s="1682">
        <f>G22+G23</f>
        <v>0</v>
      </c>
      <c r="I21" s="1627"/>
      <c r="J21" s="1627">
        <f t="shared" si="0"/>
        <v>0</v>
      </c>
      <c r="K21" s="1627"/>
    </row>
    <row r="22" spans="1:11">
      <c r="A22" s="1683" t="s">
        <v>2428</v>
      </c>
      <c r="B22" s="1684">
        <v>18</v>
      </c>
      <c r="C22" s="1685">
        <f>SUM(F22+G22)</f>
        <v>55553</v>
      </c>
      <c r="D22" s="1685">
        <v>0</v>
      </c>
      <c r="F22" s="1685">
        <v>55553</v>
      </c>
      <c r="G22" s="1685"/>
      <c r="I22" s="1627"/>
      <c r="J22" s="1627">
        <f t="shared" si="0"/>
        <v>0</v>
      </c>
      <c r="K22" s="1627"/>
    </row>
    <row r="23" spans="1:11" ht="16.5" thickBot="1">
      <c r="A23" s="1696" t="s">
        <v>2429</v>
      </c>
      <c r="B23" s="1697">
        <v>19</v>
      </c>
      <c r="C23" s="1698"/>
      <c r="D23" s="1698">
        <v>0</v>
      </c>
      <c r="F23" s="1698"/>
      <c r="G23" s="1698"/>
      <c r="I23" s="1627"/>
      <c r="J23" s="1627">
        <f t="shared" si="0"/>
        <v>0</v>
      </c>
      <c r="K23" s="1627"/>
    </row>
    <row r="24" spans="1:11" ht="16.5" thickBot="1">
      <c r="A24" s="1664" t="s">
        <v>2436</v>
      </c>
      <c r="B24" s="1665">
        <v>20</v>
      </c>
      <c r="C24" s="1668">
        <f>C5+C8+C21</f>
        <v>458199</v>
      </c>
      <c r="D24" s="1668">
        <f>D5+D8+D21</f>
        <v>0</v>
      </c>
      <c r="F24" s="1668">
        <f>F5+F8+F21</f>
        <v>305203</v>
      </c>
      <c r="G24" s="1668">
        <f>G5+G8+G21</f>
        <v>152996</v>
      </c>
      <c r="I24" s="1627">
        <v>458199</v>
      </c>
      <c r="J24" s="1627">
        <f t="shared" si="0"/>
        <v>305203</v>
      </c>
      <c r="K24" s="1627"/>
    </row>
    <row r="25" spans="1:11">
      <c r="I25" s="1627"/>
      <c r="J25" s="1627"/>
      <c r="K25" s="1627"/>
    </row>
  </sheetData>
  <sheetProtection selectLockedCells="1" selectUnlockedCells="1"/>
  <mergeCells count="6">
    <mergeCell ref="F3:F4"/>
    <mergeCell ref="A1:D1"/>
    <mergeCell ref="A3:A4"/>
    <mergeCell ref="B3:B4"/>
    <mergeCell ref="C3:C4"/>
    <mergeCell ref="D3:D4"/>
  </mergeCells>
  <printOptions horizontalCentered="1"/>
  <pageMargins left="0.35433070866141736" right="0.19685039370078741" top="0.59055118110236227" bottom="0.35433070866141736" header="0.27559055118110237" footer="0.23622047244094491"/>
  <pageSetup paperSize="9" firstPageNumber="137" orientation="portrait" horizontalDpi="300" verticalDpi="300" r:id="rId1"/>
  <headerFooter alignWithMargins="0">
    <oddHeader>&amp;R&amp;12 17.3. sz. melléklet</oddHeader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view="pageBreakPreview" zoomScaleSheetLayoutView="100" workbookViewId="0">
      <selection activeCell="I17" sqref="I17"/>
    </sheetView>
  </sheetViews>
  <sheetFormatPr defaultRowHeight="15.75"/>
  <cols>
    <col min="1" max="1" width="56.6640625" style="1620" customWidth="1"/>
    <col min="2" max="2" width="10.1640625" style="1620" customWidth="1"/>
    <col min="3" max="3" width="17.6640625" style="1621" customWidth="1"/>
    <col min="4" max="4" width="14.1640625" style="1621" customWidth="1"/>
    <col min="5" max="5" width="9.33203125" style="1619"/>
    <col min="6" max="6" width="13.1640625" style="1619" customWidth="1"/>
    <col min="7" max="256" width="9.33203125" style="1619"/>
    <col min="257" max="257" width="56.6640625" style="1619" customWidth="1"/>
    <col min="258" max="258" width="10.1640625" style="1619" customWidth="1"/>
    <col min="259" max="259" width="17.6640625" style="1619" customWidth="1"/>
    <col min="260" max="260" width="14.1640625" style="1619" customWidth="1"/>
    <col min="261" max="261" width="9.33203125" style="1619"/>
    <col min="262" max="262" width="13.1640625" style="1619" customWidth="1"/>
    <col min="263" max="512" width="9.33203125" style="1619"/>
    <col min="513" max="513" width="56.6640625" style="1619" customWidth="1"/>
    <col min="514" max="514" width="10.1640625" style="1619" customWidth="1"/>
    <col min="515" max="515" width="17.6640625" style="1619" customWidth="1"/>
    <col min="516" max="516" width="14.1640625" style="1619" customWidth="1"/>
    <col min="517" max="517" width="9.33203125" style="1619"/>
    <col min="518" max="518" width="13.1640625" style="1619" customWidth="1"/>
    <col min="519" max="768" width="9.33203125" style="1619"/>
    <col min="769" max="769" width="56.6640625" style="1619" customWidth="1"/>
    <col min="770" max="770" width="10.1640625" style="1619" customWidth="1"/>
    <col min="771" max="771" width="17.6640625" style="1619" customWidth="1"/>
    <col min="772" max="772" width="14.1640625" style="1619" customWidth="1"/>
    <col min="773" max="773" width="9.33203125" style="1619"/>
    <col min="774" max="774" width="13.1640625" style="1619" customWidth="1"/>
    <col min="775" max="1024" width="9.33203125" style="1619"/>
    <col min="1025" max="1025" width="56.6640625" style="1619" customWidth="1"/>
    <col min="1026" max="1026" width="10.1640625" style="1619" customWidth="1"/>
    <col min="1027" max="1027" width="17.6640625" style="1619" customWidth="1"/>
    <col min="1028" max="1028" width="14.1640625" style="1619" customWidth="1"/>
    <col min="1029" max="1029" width="9.33203125" style="1619"/>
    <col min="1030" max="1030" width="13.1640625" style="1619" customWidth="1"/>
    <col min="1031" max="1280" width="9.33203125" style="1619"/>
    <col min="1281" max="1281" width="56.6640625" style="1619" customWidth="1"/>
    <col min="1282" max="1282" width="10.1640625" style="1619" customWidth="1"/>
    <col min="1283" max="1283" width="17.6640625" style="1619" customWidth="1"/>
    <col min="1284" max="1284" width="14.1640625" style="1619" customWidth="1"/>
    <col min="1285" max="1285" width="9.33203125" style="1619"/>
    <col min="1286" max="1286" width="13.1640625" style="1619" customWidth="1"/>
    <col min="1287" max="1536" width="9.33203125" style="1619"/>
    <col min="1537" max="1537" width="56.6640625" style="1619" customWidth="1"/>
    <col min="1538" max="1538" width="10.1640625" style="1619" customWidth="1"/>
    <col min="1539" max="1539" width="17.6640625" style="1619" customWidth="1"/>
    <col min="1540" max="1540" width="14.1640625" style="1619" customWidth="1"/>
    <col min="1541" max="1541" width="9.33203125" style="1619"/>
    <col min="1542" max="1542" width="13.1640625" style="1619" customWidth="1"/>
    <col min="1543" max="1792" width="9.33203125" style="1619"/>
    <col min="1793" max="1793" width="56.6640625" style="1619" customWidth="1"/>
    <col min="1794" max="1794" width="10.1640625" style="1619" customWidth="1"/>
    <col min="1795" max="1795" width="17.6640625" style="1619" customWidth="1"/>
    <col min="1796" max="1796" width="14.1640625" style="1619" customWidth="1"/>
    <col min="1797" max="1797" width="9.33203125" style="1619"/>
    <col min="1798" max="1798" width="13.1640625" style="1619" customWidth="1"/>
    <col min="1799" max="2048" width="9.33203125" style="1619"/>
    <col min="2049" max="2049" width="56.6640625" style="1619" customWidth="1"/>
    <col min="2050" max="2050" width="10.1640625" style="1619" customWidth="1"/>
    <col min="2051" max="2051" width="17.6640625" style="1619" customWidth="1"/>
    <col min="2052" max="2052" width="14.1640625" style="1619" customWidth="1"/>
    <col min="2053" max="2053" width="9.33203125" style="1619"/>
    <col min="2054" max="2054" width="13.1640625" style="1619" customWidth="1"/>
    <col min="2055" max="2304" width="9.33203125" style="1619"/>
    <col min="2305" max="2305" width="56.6640625" style="1619" customWidth="1"/>
    <col min="2306" max="2306" width="10.1640625" style="1619" customWidth="1"/>
    <col min="2307" max="2307" width="17.6640625" style="1619" customWidth="1"/>
    <col min="2308" max="2308" width="14.1640625" style="1619" customWidth="1"/>
    <col min="2309" max="2309" width="9.33203125" style="1619"/>
    <col min="2310" max="2310" width="13.1640625" style="1619" customWidth="1"/>
    <col min="2311" max="2560" width="9.33203125" style="1619"/>
    <col min="2561" max="2561" width="56.6640625" style="1619" customWidth="1"/>
    <col min="2562" max="2562" width="10.1640625" style="1619" customWidth="1"/>
    <col min="2563" max="2563" width="17.6640625" style="1619" customWidth="1"/>
    <col min="2564" max="2564" width="14.1640625" style="1619" customWidth="1"/>
    <col min="2565" max="2565" width="9.33203125" style="1619"/>
    <col min="2566" max="2566" width="13.1640625" style="1619" customWidth="1"/>
    <col min="2567" max="2816" width="9.33203125" style="1619"/>
    <col min="2817" max="2817" width="56.6640625" style="1619" customWidth="1"/>
    <col min="2818" max="2818" width="10.1640625" style="1619" customWidth="1"/>
    <col min="2819" max="2819" width="17.6640625" style="1619" customWidth="1"/>
    <col min="2820" max="2820" width="14.1640625" style="1619" customWidth="1"/>
    <col min="2821" max="2821" width="9.33203125" style="1619"/>
    <col min="2822" max="2822" width="13.1640625" style="1619" customWidth="1"/>
    <col min="2823" max="3072" width="9.33203125" style="1619"/>
    <col min="3073" max="3073" width="56.6640625" style="1619" customWidth="1"/>
    <col min="3074" max="3074" width="10.1640625" style="1619" customWidth="1"/>
    <col min="3075" max="3075" width="17.6640625" style="1619" customWidth="1"/>
    <col min="3076" max="3076" width="14.1640625" style="1619" customWidth="1"/>
    <col min="3077" max="3077" width="9.33203125" style="1619"/>
    <col min="3078" max="3078" width="13.1640625" style="1619" customWidth="1"/>
    <col min="3079" max="3328" width="9.33203125" style="1619"/>
    <col min="3329" max="3329" width="56.6640625" style="1619" customWidth="1"/>
    <col min="3330" max="3330" width="10.1640625" style="1619" customWidth="1"/>
    <col min="3331" max="3331" width="17.6640625" style="1619" customWidth="1"/>
    <col min="3332" max="3332" width="14.1640625" style="1619" customWidth="1"/>
    <col min="3333" max="3333" width="9.33203125" style="1619"/>
    <col min="3334" max="3334" width="13.1640625" style="1619" customWidth="1"/>
    <col min="3335" max="3584" width="9.33203125" style="1619"/>
    <col min="3585" max="3585" width="56.6640625" style="1619" customWidth="1"/>
    <col min="3586" max="3586" width="10.1640625" style="1619" customWidth="1"/>
    <col min="3587" max="3587" width="17.6640625" style="1619" customWidth="1"/>
    <col min="3588" max="3588" width="14.1640625" style="1619" customWidth="1"/>
    <col min="3589" max="3589" width="9.33203125" style="1619"/>
    <col min="3590" max="3590" width="13.1640625" style="1619" customWidth="1"/>
    <col min="3591" max="3840" width="9.33203125" style="1619"/>
    <col min="3841" max="3841" width="56.6640625" style="1619" customWidth="1"/>
    <col min="3842" max="3842" width="10.1640625" style="1619" customWidth="1"/>
    <col min="3843" max="3843" width="17.6640625" style="1619" customWidth="1"/>
    <col min="3844" max="3844" width="14.1640625" style="1619" customWidth="1"/>
    <col min="3845" max="3845" width="9.33203125" style="1619"/>
    <col min="3846" max="3846" width="13.1640625" style="1619" customWidth="1"/>
    <col min="3847" max="4096" width="9.33203125" style="1619"/>
    <col min="4097" max="4097" width="56.6640625" style="1619" customWidth="1"/>
    <col min="4098" max="4098" width="10.1640625" style="1619" customWidth="1"/>
    <col min="4099" max="4099" width="17.6640625" style="1619" customWidth="1"/>
    <col min="4100" max="4100" width="14.1640625" style="1619" customWidth="1"/>
    <col min="4101" max="4101" width="9.33203125" style="1619"/>
    <col min="4102" max="4102" width="13.1640625" style="1619" customWidth="1"/>
    <col min="4103" max="4352" width="9.33203125" style="1619"/>
    <col min="4353" max="4353" width="56.6640625" style="1619" customWidth="1"/>
    <col min="4354" max="4354" width="10.1640625" style="1619" customWidth="1"/>
    <col min="4355" max="4355" width="17.6640625" style="1619" customWidth="1"/>
    <col min="4356" max="4356" width="14.1640625" style="1619" customWidth="1"/>
    <col min="4357" max="4357" width="9.33203125" style="1619"/>
    <col min="4358" max="4358" width="13.1640625" style="1619" customWidth="1"/>
    <col min="4359" max="4608" width="9.33203125" style="1619"/>
    <col min="4609" max="4609" width="56.6640625" style="1619" customWidth="1"/>
    <col min="4610" max="4610" width="10.1640625" style="1619" customWidth="1"/>
    <col min="4611" max="4611" width="17.6640625" style="1619" customWidth="1"/>
    <col min="4612" max="4612" width="14.1640625" style="1619" customWidth="1"/>
    <col min="4613" max="4613" width="9.33203125" style="1619"/>
    <col min="4614" max="4614" width="13.1640625" style="1619" customWidth="1"/>
    <col min="4615" max="4864" width="9.33203125" style="1619"/>
    <col min="4865" max="4865" width="56.6640625" style="1619" customWidth="1"/>
    <col min="4866" max="4866" width="10.1640625" style="1619" customWidth="1"/>
    <col min="4867" max="4867" width="17.6640625" style="1619" customWidth="1"/>
    <col min="4868" max="4868" width="14.1640625" style="1619" customWidth="1"/>
    <col min="4869" max="4869" width="9.33203125" style="1619"/>
    <col min="4870" max="4870" width="13.1640625" style="1619" customWidth="1"/>
    <col min="4871" max="5120" width="9.33203125" style="1619"/>
    <col min="5121" max="5121" width="56.6640625" style="1619" customWidth="1"/>
    <col min="5122" max="5122" width="10.1640625" style="1619" customWidth="1"/>
    <col min="5123" max="5123" width="17.6640625" style="1619" customWidth="1"/>
    <col min="5124" max="5124" width="14.1640625" style="1619" customWidth="1"/>
    <col min="5125" max="5125" width="9.33203125" style="1619"/>
    <col min="5126" max="5126" width="13.1640625" style="1619" customWidth="1"/>
    <col min="5127" max="5376" width="9.33203125" style="1619"/>
    <col min="5377" max="5377" width="56.6640625" style="1619" customWidth="1"/>
    <col min="5378" max="5378" width="10.1640625" style="1619" customWidth="1"/>
    <col min="5379" max="5379" width="17.6640625" style="1619" customWidth="1"/>
    <col min="5380" max="5380" width="14.1640625" style="1619" customWidth="1"/>
    <col min="5381" max="5381" width="9.33203125" style="1619"/>
    <col min="5382" max="5382" width="13.1640625" style="1619" customWidth="1"/>
    <col min="5383" max="5632" width="9.33203125" style="1619"/>
    <col min="5633" max="5633" width="56.6640625" style="1619" customWidth="1"/>
    <col min="5634" max="5634" width="10.1640625" style="1619" customWidth="1"/>
    <col min="5635" max="5635" width="17.6640625" style="1619" customWidth="1"/>
    <col min="5636" max="5636" width="14.1640625" style="1619" customWidth="1"/>
    <col min="5637" max="5637" width="9.33203125" style="1619"/>
    <col min="5638" max="5638" width="13.1640625" style="1619" customWidth="1"/>
    <col min="5639" max="5888" width="9.33203125" style="1619"/>
    <col min="5889" max="5889" width="56.6640625" style="1619" customWidth="1"/>
    <col min="5890" max="5890" width="10.1640625" style="1619" customWidth="1"/>
    <col min="5891" max="5891" width="17.6640625" style="1619" customWidth="1"/>
    <col min="5892" max="5892" width="14.1640625" style="1619" customWidth="1"/>
    <col min="5893" max="5893" width="9.33203125" style="1619"/>
    <col min="5894" max="5894" width="13.1640625" style="1619" customWidth="1"/>
    <col min="5895" max="6144" width="9.33203125" style="1619"/>
    <col min="6145" max="6145" width="56.6640625" style="1619" customWidth="1"/>
    <col min="6146" max="6146" width="10.1640625" style="1619" customWidth="1"/>
    <col min="6147" max="6147" width="17.6640625" style="1619" customWidth="1"/>
    <col min="6148" max="6148" width="14.1640625" style="1619" customWidth="1"/>
    <col min="6149" max="6149" width="9.33203125" style="1619"/>
    <col min="6150" max="6150" width="13.1640625" style="1619" customWidth="1"/>
    <col min="6151" max="6400" width="9.33203125" style="1619"/>
    <col min="6401" max="6401" width="56.6640625" style="1619" customWidth="1"/>
    <col min="6402" max="6402" width="10.1640625" style="1619" customWidth="1"/>
    <col min="6403" max="6403" width="17.6640625" style="1619" customWidth="1"/>
    <col min="6404" max="6404" width="14.1640625" style="1619" customWidth="1"/>
    <col min="6405" max="6405" width="9.33203125" style="1619"/>
    <col min="6406" max="6406" width="13.1640625" style="1619" customWidth="1"/>
    <col min="6407" max="6656" width="9.33203125" style="1619"/>
    <col min="6657" max="6657" width="56.6640625" style="1619" customWidth="1"/>
    <col min="6658" max="6658" width="10.1640625" style="1619" customWidth="1"/>
    <col min="6659" max="6659" width="17.6640625" style="1619" customWidth="1"/>
    <col min="6660" max="6660" width="14.1640625" style="1619" customWidth="1"/>
    <col min="6661" max="6661" width="9.33203125" style="1619"/>
    <col min="6662" max="6662" width="13.1640625" style="1619" customWidth="1"/>
    <col min="6663" max="6912" width="9.33203125" style="1619"/>
    <col min="6913" max="6913" width="56.6640625" style="1619" customWidth="1"/>
    <col min="6914" max="6914" width="10.1640625" style="1619" customWidth="1"/>
    <col min="6915" max="6915" width="17.6640625" style="1619" customWidth="1"/>
    <col min="6916" max="6916" width="14.1640625" style="1619" customWidth="1"/>
    <col min="6917" max="6917" width="9.33203125" style="1619"/>
    <col min="6918" max="6918" width="13.1640625" style="1619" customWidth="1"/>
    <col min="6919" max="7168" width="9.33203125" style="1619"/>
    <col min="7169" max="7169" width="56.6640625" style="1619" customWidth="1"/>
    <col min="7170" max="7170" width="10.1640625" style="1619" customWidth="1"/>
    <col min="7171" max="7171" width="17.6640625" style="1619" customWidth="1"/>
    <col min="7172" max="7172" width="14.1640625" style="1619" customWidth="1"/>
    <col min="7173" max="7173" width="9.33203125" style="1619"/>
    <col min="7174" max="7174" width="13.1640625" style="1619" customWidth="1"/>
    <col min="7175" max="7424" width="9.33203125" style="1619"/>
    <col min="7425" max="7425" width="56.6640625" style="1619" customWidth="1"/>
    <col min="7426" max="7426" width="10.1640625" style="1619" customWidth="1"/>
    <col min="7427" max="7427" width="17.6640625" style="1619" customWidth="1"/>
    <col min="7428" max="7428" width="14.1640625" style="1619" customWidth="1"/>
    <col min="7429" max="7429" width="9.33203125" style="1619"/>
    <col min="7430" max="7430" width="13.1640625" style="1619" customWidth="1"/>
    <col min="7431" max="7680" width="9.33203125" style="1619"/>
    <col min="7681" max="7681" width="56.6640625" style="1619" customWidth="1"/>
    <col min="7682" max="7682" width="10.1640625" style="1619" customWidth="1"/>
    <col min="7683" max="7683" width="17.6640625" style="1619" customWidth="1"/>
    <col min="7684" max="7684" width="14.1640625" style="1619" customWidth="1"/>
    <col min="7685" max="7685" width="9.33203125" style="1619"/>
    <col min="7686" max="7686" width="13.1640625" style="1619" customWidth="1"/>
    <col min="7687" max="7936" width="9.33203125" style="1619"/>
    <col min="7937" max="7937" width="56.6640625" style="1619" customWidth="1"/>
    <col min="7938" max="7938" width="10.1640625" style="1619" customWidth="1"/>
    <col min="7939" max="7939" width="17.6640625" style="1619" customWidth="1"/>
    <col min="7940" max="7940" width="14.1640625" style="1619" customWidth="1"/>
    <col min="7941" max="7941" width="9.33203125" style="1619"/>
    <col min="7942" max="7942" width="13.1640625" style="1619" customWidth="1"/>
    <col min="7943" max="8192" width="9.33203125" style="1619"/>
    <col min="8193" max="8193" width="56.6640625" style="1619" customWidth="1"/>
    <col min="8194" max="8194" width="10.1640625" style="1619" customWidth="1"/>
    <col min="8195" max="8195" width="17.6640625" style="1619" customWidth="1"/>
    <col min="8196" max="8196" width="14.1640625" style="1619" customWidth="1"/>
    <col min="8197" max="8197" width="9.33203125" style="1619"/>
    <col min="8198" max="8198" width="13.1640625" style="1619" customWidth="1"/>
    <col min="8199" max="8448" width="9.33203125" style="1619"/>
    <col min="8449" max="8449" width="56.6640625" style="1619" customWidth="1"/>
    <col min="8450" max="8450" width="10.1640625" style="1619" customWidth="1"/>
    <col min="8451" max="8451" width="17.6640625" style="1619" customWidth="1"/>
    <col min="8452" max="8452" width="14.1640625" style="1619" customWidth="1"/>
    <col min="8453" max="8453" width="9.33203125" style="1619"/>
    <col min="8454" max="8454" width="13.1640625" style="1619" customWidth="1"/>
    <col min="8455" max="8704" width="9.33203125" style="1619"/>
    <col min="8705" max="8705" width="56.6640625" style="1619" customWidth="1"/>
    <col min="8706" max="8706" width="10.1640625" style="1619" customWidth="1"/>
    <col min="8707" max="8707" width="17.6640625" style="1619" customWidth="1"/>
    <col min="8708" max="8708" width="14.1640625" style="1619" customWidth="1"/>
    <col min="8709" max="8709" width="9.33203125" style="1619"/>
    <col min="8710" max="8710" width="13.1640625" style="1619" customWidth="1"/>
    <col min="8711" max="8960" width="9.33203125" style="1619"/>
    <col min="8961" max="8961" width="56.6640625" style="1619" customWidth="1"/>
    <col min="8962" max="8962" width="10.1640625" style="1619" customWidth="1"/>
    <col min="8963" max="8963" width="17.6640625" style="1619" customWidth="1"/>
    <col min="8964" max="8964" width="14.1640625" style="1619" customWidth="1"/>
    <col min="8965" max="8965" width="9.33203125" style="1619"/>
    <col min="8966" max="8966" width="13.1640625" style="1619" customWidth="1"/>
    <col min="8967" max="9216" width="9.33203125" style="1619"/>
    <col min="9217" max="9217" width="56.6640625" style="1619" customWidth="1"/>
    <col min="9218" max="9218" width="10.1640625" style="1619" customWidth="1"/>
    <col min="9219" max="9219" width="17.6640625" style="1619" customWidth="1"/>
    <col min="9220" max="9220" width="14.1640625" style="1619" customWidth="1"/>
    <col min="9221" max="9221" width="9.33203125" style="1619"/>
    <col min="9222" max="9222" width="13.1640625" style="1619" customWidth="1"/>
    <col min="9223" max="9472" width="9.33203125" style="1619"/>
    <col min="9473" max="9473" width="56.6640625" style="1619" customWidth="1"/>
    <col min="9474" max="9474" width="10.1640625" style="1619" customWidth="1"/>
    <col min="9475" max="9475" width="17.6640625" style="1619" customWidth="1"/>
    <col min="9476" max="9476" width="14.1640625" style="1619" customWidth="1"/>
    <col min="9477" max="9477" width="9.33203125" style="1619"/>
    <col min="9478" max="9478" width="13.1640625" style="1619" customWidth="1"/>
    <col min="9479" max="9728" width="9.33203125" style="1619"/>
    <col min="9729" max="9729" width="56.6640625" style="1619" customWidth="1"/>
    <col min="9730" max="9730" width="10.1640625" style="1619" customWidth="1"/>
    <col min="9731" max="9731" width="17.6640625" style="1619" customWidth="1"/>
    <col min="9732" max="9732" width="14.1640625" style="1619" customWidth="1"/>
    <col min="9733" max="9733" width="9.33203125" style="1619"/>
    <col min="9734" max="9734" width="13.1640625" style="1619" customWidth="1"/>
    <col min="9735" max="9984" width="9.33203125" style="1619"/>
    <col min="9985" max="9985" width="56.6640625" style="1619" customWidth="1"/>
    <col min="9986" max="9986" width="10.1640625" style="1619" customWidth="1"/>
    <col min="9987" max="9987" width="17.6640625" style="1619" customWidth="1"/>
    <col min="9988" max="9988" width="14.1640625" style="1619" customWidth="1"/>
    <col min="9989" max="9989" width="9.33203125" style="1619"/>
    <col min="9990" max="9990" width="13.1640625" style="1619" customWidth="1"/>
    <col min="9991" max="10240" width="9.33203125" style="1619"/>
    <col min="10241" max="10241" width="56.6640625" style="1619" customWidth="1"/>
    <col min="10242" max="10242" width="10.1640625" style="1619" customWidth="1"/>
    <col min="10243" max="10243" width="17.6640625" style="1619" customWidth="1"/>
    <col min="10244" max="10244" width="14.1640625" style="1619" customWidth="1"/>
    <col min="10245" max="10245" width="9.33203125" style="1619"/>
    <col min="10246" max="10246" width="13.1640625" style="1619" customWidth="1"/>
    <col min="10247" max="10496" width="9.33203125" style="1619"/>
    <col min="10497" max="10497" width="56.6640625" style="1619" customWidth="1"/>
    <col min="10498" max="10498" width="10.1640625" style="1619" customWidth="1"/>
    <col min="10499" max="10499" width="17.6640625" style="1619" customWidth="1"/>
    <col min="10500" max="10500" width="14.1640625" style="1619" customWidth="1"/>
    <col min="10501" max="10501" width="9.33203125" style="1619"/>
    <col min="10502" max="10502" width="13.1640625" style="1619" customWidth="1"/>
    <col min="10503" max="10752" width="9.33203125" style="1619"/>
    <col min="10753" max="10753" width="56.6640625" style="1619" customWidth="1"/>
    <col min="10754" max="10754" width="10.1640625" style="1619" customWidth="1"/>
    <col min="10755" max="10755" width="17.6640625" style="1619" customWidth="1"/>
    <col min="10756" max="10756" width="14.1640625" style="1619" customWidth="1"/>
    <col min="10757" max="10757" width="9.33203125" style="1619"/>
    <col min="10758" max="10758" width="13.1640625" style="1619" customWidth="1"/>
    <col min="10759" max="11008" width="9.33203125" style="1619"/>
    <col min="11009" max="11009" width="56.6640625" style="1619" customWidth="1"/>
    <col min="11010" max="11010" width="10.1640625" style="1619" customWidth="1"/>
    <col min="11011" max="11011" width="17.6640625" style="1619" customWidth="1"/>
    <col min="11012" max="11012" width="14.1640625" style="1619" customWidth="1"/>
    <col min="11013" max="11013" width="9.33203125" style="1619"/>
    <col min="11014" max="11014" width="13.1640625" style="1619" customWidth="1"/>
    <col min="11015" max="11264" width="9.33203125" style="1619"/>
    <col min="11265" max="11265" width="56.6640625" style="1619" customWidth="1"/>
    <col min="11266" max="11266" width="10.1640625" style="1619" customWidth="1"/>
    <col min="11267" max="11267" width="17.6640625" style="1619" customWidth="1"/>
    <col min="11268" max="11268" width="14.1640625" style="1619" customWidth="1"/>
    <col min="11269" max="11269" width="9.33203125" style="1619"/>
    <col min="11270" max="11270" width="13.1640625" style="1619" customWidth="1"/>
    <col min="11271" max="11520" width="9.33203125" style="1619"/>
    <col min="11521" max="11521" width="56.6640625" style="1619" customWidth="1"/>
    <col min="11522" max="11522" width="10.1640625" style="1619" customWidth="1"/>
    <col min="11523" max="11523" width="17.6640625" style="1619" customWidth="1"/>
    <col min="11524" max="11524" width="14.1640625" style="1619" customWidth="1"/>
    <col min="11525" max="11525" width="9.33203125" style="1619"/>
    <col min="11526" max="11526" width="13.1640625" style="1619" customWidth="1"/>
    <col min="11527" max="11776" width="9.33203125" style="1619"/>
    <col min="11777" max="11777" width="56.6640625" style="1619" customWidth="1"/>
    <col min="11778" max="11778" width="10.1640625" style="1619" customWidth="1"/>
    <col min="11779" max="11779" width="17.6640625" style="1619" customWidth="1"/>
    <col min="11780" max="11780" width="14.1640625" style="1619" customWidth="1"/>
    <col min="11781" max="11781" width="9.33203125" style="1619"/>
    <col min="11782" max="11782" width="13.1640625" style="1619" customWidth="1"/>
    <col min="11783" max="12032" width="9.33203125" style="1619"/>
    <col min="12033" max="12033" width="56.6640625" style="1619" customWidth="1"/>
    <col min="12034" max="12034" width="10.1640625" style="1619" customWidth="1"/>
    <col min="12035" max="12035" width="17.6640625" style="1619" customWidth="1"/>
    <col min="12036" max="12036" width="14.1640625" style="1619" customWidth="1"/>
    <col min="12037" max="12037" width="9.33203125" style="1619"/>
    <col min="12038" max="12038" width="13.1640625" style="1619" customWidth="1"/>
    <col min="12039" max="12288" width="9.33203125" style="1619"/>
    <col min="12289" max="12289" width="56.6640625" style="1619" customWidth="1"/>
    <col min="12290" max="12290" width="10.1640625" style="1619" customWidth="1"/>
    <col min="12291" max="12291" width="17.6640625" style="1619" customWidth="1"/>
    <col min="12292" max="12292" width="14.1640625" style="1619" customWidth="1"/>
    <col min="12293" max="12293" width="9.33203125" style="1619"/>
    <col min="12294" max="12294" width="13.1640625" style="1619" customWidth="1"/>
    <col min="12295" max="12544" width="9.33203125" style="1619"/>
    <col min="12545" max="12545" width="56.6640625" style="1619" customWidth="1"/>
    <col min="12546" max="12546" width="10.1640625" style="1619" customWidth="1"/>
    <col min="12547" max="12547" width="17.6640625" style="1619" customWidth="1"/>
    <col min="12548" max="12548" width="14.1640625" style="1619" customWidth="1"/>
    <col min="12549" max="12549" width="9.33203125" style="1619"/>
    <col min="12550" max="12550" width="13.1640625" style="1619" customWidth="1"/>
    <col min="12551" max="12800" width="9.33203125" style="1619"/>
    <col min="12801" max="12801" width="56.6640625" style="1619" customWidth="1"/>
    <col min="12802" max="12802" width="10.1640625" style="1619" customWidth="1"/>
    <col min="12803" max="12803" width="17.6640625" style="1619" customWidth="1"/>
    <col min="12804" max="12804" width="14.1640625" style="1619" customWidth="1"/>
    <col min="12805" max="12805" width="9.33203125" style="1619"/>
    <col min="12806" max="12806" width="13.1640625" style="1619" customWidth="1"/>
    <col min="12807" max="13056" width="9.33203125" style="1619"/>
    <col min="13057" max="13057" width="56.6640625" style="1619" customWidth="1"/>
    <col min="13058" max="13058" width="10.1640625" style="1619" customWidth="1"/>
    <col min="13059" max="13059" width="17.6640625" style="1619" customWidth="1"/>
    <col min="13060" max="13060" width="14.1640625" style="1619" customWidth="1"/>
    <col min="13061" max="13061" width="9.33203125" style="1619"/>
    <col min="13062" max="13062" width="13.1640625" style="1619" customWidth="1"/>
    <col min="13063" max="13312" width="9.33203125" style="1619"/>
    <col min="13313" max="13313" width="56.6640625" style="1619" customWidth="1"/>
    <col min="13314" max="13314" width="10.1640625" style="1619" customWidth="1"/>
    <col min="13315" max="13315" width="17.6640625" style="1619" customWidth="1"/>
    <col min="13316" max="13316" width="14.1640625" style="1619" customWidth="1"/>
    <col min="13317" max="13317" width="9.33203125" style="1619"/>
    <col min="13318" max="13318" width="13.1640625" style="1619" customWidth="1"/>
    <col min="13319" max="13568" width="9.33203125" style="1619"/>
    <col min="13569" max="13569" width="56.6640625" style="1619" customWidth="1"/>
    <col min="13570" max="13570" width="10.1640625" style="1619" customWidth="1"/>
    <col min="13571" max="13571" width="17.6640625" style="1619" customWidth="1"/>
    <col min="13572" max="13572" width="14.1640625" style="1619" customWidth="1"/>
    <col min="13573" max="13573" width="9.33203125" style="1619"/>
    <col min="13574" max="13574" width="13.1640625" style="1619" customWidth="1"/>
    <col min="13575" max="13824" width="9.33203125" style="1619"/>
    <col min="13825" max="13825" width="56.6640625" style="1619" customWidth="1"/>
    <col min="13826" max="13826" width="10.1640625" style="1619" customWidth="1"/>
    <col min="13827" max="13827" width="17.6640625" style="1619" customWidth="1"/>
    <col min="13828" max="13828" width="14.1640625" style="1619" customWidth="1"/>
    <col min="13829" max="13829" width="9.33203125" style="1619"/>
    <col min="13830" max="13830" width="13.1640625" style="1619" customWidth="1"/>
    <col min="13831" max="14080" width="9.33203125" style="1619"/>
    <col min="14081" max="14081" width="56.6640625" style="1619" customWidth="1"/>
    <col min="14082" max="14082" width="10.1640625" style="1619" customWidth="1"/>
    <col min="14083" max="14083" width="17.6640625" style="1619" customWidth="1"/>
    <col min="14084" max="14084" width="14.1640625" style="1619" customWidth="1"/>
    <col min="14085" max="14085" width="9.33203125" style="1619"/>
    <col min="14086" max="14086" width="13.1640625" style="1619" customWidth="1"/>
    <col min="14087" max="14336" width="9.33203125" style="1619"/>
    <col min="14337" max="14337" width="56.6640625" style="1619" customWidth="1"/>
    <col min="14338" max="14338" width="10.1640625" style="1619" customWidth="1"/>
    <col min="14339" max="14339" width="17.6640625" style="1619" customWidth="1"/>
    <col min="14340" max="14340" width="14.1640625" style="1619" customWidth="1"/>
    <col min="14341" max="14341" width="9.33203125" style="1619"/>
    <col min="14342" max="14342" width="13.1640625" style="1619" customWidth="1"/>
    <col min="14343" max="14592" width="9.33203125" style="1619"/>
    <col min="14593" max="14593" width="56.6640625" style="1619" customWidth="1"/>
    <col min="14594" max="14594" width="10.1640625" style="1619" customWidth="1"/>
    <col min="14595" max="14595" width="17.6640625" style="1619" customWidth="1"/>
    <col min="14596" max="14596" width="14.1640625" style="1619" customWidth="1"/>
    <col min="14597" max="14597" width="9.33203125" style="1619"/>
    <col min="14598" max="14598" width="13.1640625" style="1619" customWidth="1"/>
    <col min="14599" max="14848" width="9.33203125" style="1619"/>
    <col min="14849" max="14849" width="56.6640625" style="1619" customWidth="1"/>
    <col min="14850" max="14850" width="10.1640625" style="1619" customWidth="1"/>
    <col min="14851" max="14851" width="17.6640625" style="1619" customWidth="1"/>
    <col min="14852" max="14852" width="14.1640625" style="1619" customWidth="1"/>
    <col min="14853" max="14853" width="9.33203125" style="1619"/>
    <col min="14854" max="14854" width="13.1640625" style="1619" customWidth="1"/>
    <col min="14855" max="15104" width="9.33203125" style="1619"/>
    <col min="15105" max="15105" width="56.6640625" style="1619" customWidth="1"/>
    <col min="15106" max="15106" width="10.1640625" style="1619" customWidth="1"/>
    <col min="15107" max="15107" width="17.6640625" style="1619" customWidth="1"/>
    <col min="15108" max="15108" width="14.1640625" style="1619" customWidth="1"/>
    <col min="15109" max="15109" width="9.33203125" style="1619"/>
    <col min="15110" max="15110" width="13.1640625" style="1619" customWidth="1"/>
    <col min="15111" max="15360" width="9.33203125" style="1619"/>
    <col min="15361" max="15361" width="56.6640625" style="1619" customWidth="1"/>
    <col min="15362" max="15362" width="10.1640625" style="1619" customWidth="1"/>
    <col min="15363" max="15363" width="17.6640625" style="1619" customWidth="1"/>
    <col min="15364" max="15364" width="14.1640625" style="1619" customWidth="1"/>
    <col min="15365" max="15365" width="9.33203125" style="1619"/>
    <col min="15366" max="15366" width="13.1640625" style="1619" customWidth="1"/>
    <col min="15367" max="15616" width="9.33203125" style="1619"/>
    <col min="15617" max="15617" width="56.6640625" style="1619" customWidth="1"/>
    <col min="15618" max="15618" width="10.1640625" style="1619" customWidth="1"/>
    <col min="15619" max="15619" width="17.6640625" style="1619" customWidth="1"/>
    <col min="15620" max="15620" width="14.1640625" style="1619" customWidth="1"/>
    <col min="15621" max="15621" width="9.33203125" style="1619"/>
    <col min="15622" max="15622" width="13.1640625" style="1619" customWidth="1"/>
    <col min="15623" max="15872" width="9.33203125" style="1619"/>
    <col min="15873" max="15873" width="56.6640625" style="1619" customWidth="1"/>
    <col min="15874" max="15874" width="10.1640625" style="1619" customWidth="1"/>
    <col min="15875" max="15875" width="17.6640625" style="1619" customWidth="1"/>
    <col min="15876" max="15876" width="14.1640625" style="1619" customWidth="1"/>
    <col min="15877" max="15877" width="9.33203125" style="1619"/>
    <col min="15878" max="15878" width="13.1640625" style="1619" customWidth="1"/>
    <col min="15879" max="16128" width="9.33203125" style="1619"/>
    <col min="16129" max="16129" width="56.6640625" style="1619" customWidth="1"/>
    <col min="16130" max="16130" width="10.1640625" style="1619" customWidth="1"/>
    <col min="16131" max="16131" width="17.6640625" style="1619" customWidth="1"/>
    <col min="16132" max="16132" width="14.1640625" style="1619" customWidth="1"/>
    <col min="16133" max="16133" width="9.33203125" style="1619"/>
    <col min="16134" max="16134" width="13.1640625" style="1619" customWidth="1"/>
    <col min="16135" max="16384" width="9.33203125" style="1619"/>
  </cols>
  <sheetData>
    <row r="1" spans="1:4" ht="31.5" customHeight="1">
      <c r="A1" s="2019" t="s">
        <v>291</v>
      </c>
      <c r="B1" s="2019"/>
      <c r="C1" s="2019"/>
      <c r="D1" s="2019"/>
    </row>
    <row r="2" spans="1:4" ht="31.5" customHeight="1">
      <c r="A2" s="2020" t="s">
        <v>2437</v>
      </c>
      <c r="B2" s="2020"/>
      <c r="C2" s="2020"/>
      <c r="D2" s="2020"/>
    </row>
    <row r="3" spans="1:4" ht="27.75" customHeight="1">
      <c r="A3" s="2021" t="s">
        <v>2438</v>
      </c>
      <c r="B3" s="2021"/>
      <c r="C3" s="2021"/>
      <c r="D3" s="2021"/>
    </row>
    <row r="4" spans="1:4" ht="17.25" customHeight="1">
      <c r="A4" s="2021" t="s">
        <v>2453</v>
      </c>
      <c r="B4" s="2021"/>
      <c r="C4" s="2021"/>
      <c r="D4" s="2021"/>
    </row>
    <row r="5" spans="1:4" ht="26.25" customHeight="1" thickBot="1">
      <c r="B5" s="1679"/>
      <c r="D5" s="1699" t="s">
        <v>2335</v>
      </c>
    </row>
    <row r="6" spans="1:4" ht="15.75" customHeight="1" thickBot="1">
      <c r="A6" s="2022" t="s">
        <v>198</v>
      </c>
      <c r="B6" s="2023" t="s">
        <v>2337</v>
      </c>
      <c r="C6" s="2024" t="s">
        <v>2439</v>
      </c>
      <c r="D6" s="2024" t="s">
        <v>2440</v>
      </c>
    </row>
    <row r="7" spans="1:4" ht="24.75" customHeight="1" thickBot="1">
      <c r="A7" s="2022" t="s">
        <v>2441</v>
      </c>
      <c r="B7" s="2023"/>
      <c r="C7" s="2024"/>
      <c r="D7" s="2024"/>
    </row>
    <row r="8" spans="1:4" ht="21.75" customHeight="1">
      <c r="A8" s="1700" t="s">
        <v>2442</v>
      </c>
      <c r="B8" s="1701">
        <v>1</v>
      </c>
      <c r="C8" s="1702">
        <v>40</v>
      </c>
      <c r="D8" s="1703">
        <v>2727</v>
      </c>
    </row>
    <row r="9" spans="1:4" ht="21.75" customHeight="1">
      <c r="A9" s="1704" t="s">
        <v>2443</v>
      </c>
      <c r="B9" s="1705">
        <v>2</v>
      </c>
      <c r="C9" s="1706"/>
      <c r="D9" s="1707"/>
    </row>
    <row r="10" spans="1:4" ht="21.75" customHeight="1">
      <c r="A10" s="1704" t="s">
        <v>2444</v>
      </c>
      <c r="B10" s="1705">
        <v>3</v>
      </c>
      <c r="C10" s="1706"/>
      <c r="D10" s="1707"/>
    </row>
    <row r="11" spans="1:4" ht="21.75" customHeight="1">
      <c r="A11" s="1708" t="s">
        <v>2445</v>
      </c>
      <c r="B11" s="1705">
        <v>4</v>
      </c>
      <c r="C11" s="1706"/>
      <c r="D11" s="1707"/>
    </row>
    <row r="12" spans="1:4" ht="21.75" customHeight="1" thickBot="1">
      <c r="A12" s="1704" t="s">
        <v>2446</v>
      </c>
      <c r="B12" s="1705">
        <v>5</v>
      </c>
      <c r="C12" s="1706"/>
      <c r="D12" s="1707"/>
    </row>
    <row r="13" spans="1:4" ht="21.75" customHeight="1" thickBot="1">
      <c r="A13" s="1709" t="s">
        <v>2447</v>
      </c>
      <c r="B13" s="1710">
        <v>6</v>
      </c>
      <c r="C13" s="1711">
        <f>SUM(C8:C12)</f>
        <v>40</v>
      </c>
      <c r="D13" s="1712">
        <f>SUM(D8:D12)</f>
        <v>2727</v>
      </c>
    </row>
  </sheetData>
  <sheetProtection selectLockedCells="1" selectUnlockedCells="1"/>
  <mergeCells count="8">
    <mergeCell ref="A1:D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138" orientation="portrait" horizontalDpi="300" verticalDpi="300" r:id="rId1"/>
  <headerFooter alignWithMargins="0">
    <oddHeader>&amp;R&amp;12 17.4. sz. melléklet</oddHeader>
    <oddFooter>&amp;C-&amp;P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view="pageBreakPreview" zoomScale="110" zoomScaleSheetLayoutView="110" workbookViewId="0">
      <selection activeCell="I7" sqref="I7"/>
    </sheetView>
  </sheetViews>
  <sheetFormatPr defaultRowHeight="15.75"/>
  <cols>
    <col min="1" max="1" width="64" style="1620" customWidth="1"/>
    <col min="2" max="2" width="10.1640625" style="1620" customWidth="1"/>
    <col min="3" max="3" width="17.6640625" style="1621" customWidth="1"/>
    <col min="4" max="4" width="17.33203125" style="1621" customWidth="1"/>
    <col min="5" max="5" width="9.33203125" style="1619"/>
    <col min="6" max="6" width="13.1640625" style="1619" customWidth="1"/>
    <col min="7" max="256" width="9.33203125" style="1619"/>
    <col min="257" max="257" width="64" style="1619" customWidth="1"/>
    <col min="258" max="258" width="10.1640625" style="1619" customWidth="1"/>
    <col min="259" max="259" width="17.6640625" style="1619" customWidth="1"/>
    <col min="260" max="260" width="17.33203125" style="1619" customWidth="1"/>
    <col min="261" max="261" width="9.33203125" style="1619"/>
    <col min="262" max="262" width="13.1640625" style="1619" customWidth="1"/>
    <col min="263" max="512" width="9.33203125" style="1619"/>
    <col min="513" max="513" width="64" style="1619" customWidth="1"/>
    <col min="514" max="514" width="10.1640625" style="1619" customWidth="1"/>
    <col min="515" max="515" width="17.6640625" style="1619" customWidth="1"/>
    <col min="516" max="516" width="17.33203125" style="1619" customWidth="1"/>
    <col min="517" max="517" width="9.33203125" style="1619"/>
    <col min="518" max="518" width="13.1640625" style="1619" customWidth="1"/>
    <col min="519" max="768" width="9.33203125" style="1619"/>
    <col min="769" max="769" width="64" style="1619" customWidth="1"/>
    <col min="770" max="770" width="10.1640625" style="1619" customWidth="1"/>
    <col min="771" max="771" width="17.6640625" style="1619" customWidth="1"/>
    <col min="772" max="772" width="17.33203125" style="1619" customWidth="1"/>
    <col min="773" max="773" width="9.33203125" style="1619"/>
    <col min="774" max="774" width="13.1640625" style="1619" customWidth="1"/>
    <col min="775" max="1024" width="9.33203125" style="1619"/>
    <col min="1025" max="1025" width="64" style="1619" customWidth="1"/>
    <col min="1026" max="1026" width="10.1640625" style="1619" customWidth="1"/>
    <col min="1027" max="1027" width="17.6640625" style="1619" customWidth="1"/>
    <col min="1028" max="1028" width="17.33203125" style="1619" customWidth="1"/>
    <col min="1029" max="1029" width="9.33203125" style="1619"/>
    <col min="1030" max="1030" width="13.1640625" style="1619" customWidth="1"/>
    <col min="1031" max="1280" width="9.33203125" style="1619"/>
    <col min="1281" max="1281" width="64" style="1619" customWidth="1"/>
    <col min="1282" max="1282" width="10.1640625" style="1619" customWidth="1"/>
    <col min="1283" max="1283" width="17.6640625" style="1619" customWidth="1"/>
    <col min="1284" max="1284" width="17.33203125" style="1619" customWidth="1"/>
    <col min="1285" max="1285" width="9.33203125" style="1619"/>
    <col min="1286" max="1286" width="13.1640625" style="1619" customWidth="1"/>
    <col min="1287" max="1536" width="9.33203125" style="1619"/>
    <col min="1537" max="1537" width="64" style="1619" customWidth="1"/>
    <col min="1538" max="1538" width="10.1640625" style="1619" customWidth="1"/>
    <col min="1539" max="1539" width="17.6640625" style="1619" customWidth="1"/>
    <col min="1540" max="1540" width="17.33203125" style="1619" customWidth="1"/>
    <col min="1541" max="1541" width="9.33203125" style="1619"/>
    <col min="1542" max="1542" width="13.1640625" style="1619" customWidth="1"/>
    <col min="1543" max="1792" width="9.33203125" style="1619"/>
    <col min="1793" max="1793" width="64" style="1619" customWidth="1"/>
    <col min="1794" max="1794" width="10.1640625" style="1619" customWidth="1"/>
    <col min="1795" max="1795" width="17.6640625" style="1619" customWidth="1"/>
    <col min="1796" max="1796" width="17.33203125" style="1619" customWidth="1"/>
    <col min="1797" max="1797" width="9.33203125" style="1619"/>
    <col min="1798" max="1798" width="13.1640625" style="1619" customWidth="1"/>
    <col min="1799" max="2048" width="9.33203125" style="1619"/>
    <col min="2049" max="2049" width="64" style="1619" customWidth="1"/>
    <col min="2050" max="2050" width="10.1640625" style="1619" customWidth="1"/>
    <col min="2051" max="2051" width="17.6640625" style="1619" customWidth="1"/>
    <col min="2052" max="2052" width="17.33203125" style="1619" customWidth="1"/>
    <col min="2053" max="2053" width="9.33203125" style="1619"/>
    <col min="2054" max="2054" width="13.1640625" style="1619" customWidth="1"/>
    <col min="2055" max="2304" width="9.33203125" style="1619"/>
    <col min="2305" max="2305" width="64" style="1619" customWidth="1"/>
    <col min="2306" max="2306" width="10.1640625" style="1619" customWidth="1"/>
    <col min="2307" max="2307" width="17.6640625" style="1619" customWidth="1"/>
    <col min="2308" max="2308" width="17.33203125" style="1619" customWidth="1"/>
    <col min="2309" max="2309" width="9.33203125" style="1619"/>
    <col min="2310" max="2310" width="13.1640625" style="1619" customWidth="1"/>
    <col min="2311" max="2560" width="9.33203125" style="1619"/>
    <col min="2561" max="2561" width="64" style="1619" customWidth="1"/>
    <col min="2562" max="2562" width="10.1640625" style="1619" customWidth="1"/>
    <col min="2563" max="2563" width="17.6640625" style="1619" customWidth="1"/>
    <col min="2564" max="2564" width="17.33203125" style="1619" customWidth="1"/>
    <col min="2565" max="2565" width="9.33203125" style="1619"/>
    <col min="2566" max="2566" width="13.1640625" style="1619" customWidth="1"/>
    <col min="2567" max="2816" width="9.33203125" style="1619"/>
    <col min="2817" max="2817" width="64" style="1619" customWidth="1"/>
    <col min="2818" max="2818" width="10.1640625" style="1619" customWidth="1"/>
    <col min="2819" max="2819" width="17.6640625" style="1619" customWidth="1"/>
    <col min="2820" max="2820" width="17.33203125" style="1619" customWidth="1"/>
    <col min="2821" max="2821" width="9.33203125" style="1619"/>
    <col min="2822" max="2822" width="13.1640625" style="1619" customWidth="1"/>
    <col min="2823" max="3072" width="9.33203125" style="1619"/>
    <col min="3073" max="3073" width="64" style="1619" customWidth="1"/>
    <col min="3074" max="3074" width="10.1640625" style="1619" customWidth="1"/>
    <col min="3075" max="3075" width="17.6640625" style="1619" customWidth="1"/>
    <col min="3076" max="3076" width="17.33203125" style="1619" customWidth="1"/>
    <col min="3077" max="3077" width="9.33203125" style="1619"/>
    <col min="3078" max="3078" width="13.1640625" style="1619" customWidth="1"/>
    <col min="3079" max="3328" width="9.33203125" style="1619"/>
    <col min="3329" max="3329" width="64" style="1619" customWidth="1"/>
    <col min="3330" max="3330" width="10.1640625" style="1619" customWidth="1"/>
    <col min="3331" max="3331" width="17.6640625" style="1619" customWidth="1"/>
    <col min="3332" max="3332" width="17.33203125" style="1619" customWidth="1"/>
    <col min="3333" max="3333" width="9.33203125" style="1619"/>
    <col min="3334" max="3334" width="13.1640625" style="1619" customWidth="1"/>
    <col min="3335" max="3584" width="9.33203125" style="1619"/>
    <col min="3585" max="3585" width="64" style="1619" customWidth="1"/>
    <col min="3586" max="3586" width="10.1640625" style="1619" customWidth="1"/>
    <col min="3587" max="3587" width="17.6640625" style="1619" customWidth="1"/>
    <col min="3588" max="3588" width="17.33203125" style="1619" customWidth="1"/>
    <col min="3589" max="3589" width="9.33203125" style="1619"/>
    <col min="3590" max="3590" width="13.1640625" style="1619" customWidth="1"/>
    <col min="3591" max="3840" width="9.33203125" style="1619"/>
    <col min="3841" max="3841" width="64" style="1619" customWidth="1"/>
    <col min="3842" max="3842" width="10.1640625" style="1619" customWidth="1"/>
    <col min="3843" max="3843" width="17.6640625" style="1619" customWidth="1"/>
    <col min="3844" max="3844" width="17.33203125" style="1619" customWidth="1"/>
    <col min="3845" max="3845" width="9.33203125" style="1619"/>
    <col min="3846" max="3846" width="13.1640625" style="1619" customWidth="1"/>
    <col min="3847" max="4096" width="9.33203125" style="1619"/>
    <col min="4097" max="4097" width="64" style="1619" customWidth="1"/>
    <col min="4098" max="4098" width="10.1640625" style="1619" customWidth="1"/>
    <col min="4099" max="4099" width="17.6640625" style="1619" customWidth="1"/>
    <col min="4100" max="4100" width="17.33203125" style="1619" customWidth="1"/>
    <col min="4101" max="4101" width="9.33203125" style="1619"/>
    <col min="4102" max="4102" width="13.1640625" style="1619" customWidth="1"/>
    <col min="4103" max="4352" width="9.33203125" style="1619"/>
    <col min="4353" max="4353" width="64" style="1619" customWidth="1"/>
    <col min="4354" max="4354" width="10.1640625" style="1619" customWidth="1"/>
    <col min="4355" max="4355" width="17.6640625" style="1619" customWidth="1"/>
    <col min="4356" max="4356" width="17.33203125" style="1619" customWidth="1"/>
    <col min="4357" max="4357" width="9.33203125" style="1619"/>
    <col min="4358" max="4358" width="13.1640625" style="1619" customWidth="1"/>
    <col min="4359" max="4608" width="9.33203125" style="1619"/>
    <col min="4609" max="4609" width="64" style="1619" customWidth="1"/>
    <col min="4610" max="4610" width="10.1640625" style="1619" customWidth="1"/>
    <col min="4611" max="4611" width="17.6640625" style="1619" customWidth="1"/>
    <col min="4612" max="4612" width="17.33203125" style="1619" customWidth="1"/>
    <col min="4613" max="4613" width="9.33203125" style="1619"/>
    <col min="4614" max="4614" width="13.1640625" style="1619" customWidth="1"/>
    <col min="4615" max="4864" width="9.33203125" style="1619"/>
    <col min="4865" max="4865" width="64" style="1619" customWidth="1"/>
    <col min="4866" max="4866" width="10.1640625" style="1619" customWidth="1"/>
    <col min="4867" max="4867" width="17.6640625" style="1619" customWidth="1"/>
    <col min="4868" max="4868" width="17.33203125" style="1619" customWidth="1"/>
    <col min="4869" max="4869" width="9.33203125" style="1619"/>
    <col min="4870" max="4870" width="13.1640625" style="1619" customWidth="1"/>
    <col min="4871" max="5120" width="9.33203125" style="1619"/>
    <col min="5121" max="5121" width="64" style="1619" customWidth="1"/>
    <col min="5122" max="5122" width="10.1640625" style="1619" customWidth="1"/>
    <col min="5123" max="5123" width="17.6640625" style="1619" customWidth="1"/>
    <col min="5124" max="5124" width="17.33203125" style="1619" customWidth="1"/>
    <col min="5125" max="5125" width="9.33203125" style="1619"/>
    <col min="5126" max="5126" width="13.1640625" style="1619" customWidth="1"/>
    <col min="5127" max="5376" width="9.33203125" style="1619"/>
    <col min="5377" max="5377" width="64" style="1619" customWidth="1"/>
    <col min="5378" max="5378" width="10.1640625" style="1619" customWidth="1"/>
    <col min="5379" max="5379" width="17.6640625" style="1619" customWidth="1"/>
    <col min="5380" max="5380" width="17.33203125" style="1619" customWidth="1"/>
    <col min="5381" max="5381" width="9.33203125" style="1619"/>
    <col min="5382" max="5382" width="13.1640625" style="1619" customWidth="1"/>
    <col min="5383" max="5632" width="9.33203125" style="1619"/>
    <col min="5633" max="5633" width="64" style="1619" customWidth="1"/>
    <col min="5634" max="5634" width="10.1640625" style="1619" customWidth="1"/>
    <col min="5635" max="5635" width="17.6640625" style="1619" customWidth="1"/>
    <col min="5636" max="5636" width="17.33203125" style="1619" customWidth="1"/>
    <col min="5637" max="5637" width="9.33203125" style="1619"/>
    <col min="5638" max="5638" width="13.1640625" style="1619" customWidth="1"/>
    <col min="5639" max="5888" width="9.33203125" style="1619"/>
    <col min="5889" max="5889" width="64" style="1619" customWidth="1"/>
    <col min="5890" max="5890" width="10.1640625" style="1619" customWidth="1"/>
    <col min="5891" max="5891" width="17.6640625" style="1619" customWidth="1"/>
    <col min="5892" max="5892" width="17.33203125" style="1619" customWidth="1"/>
    <col min="5893" max="5893" width="9.33203125" style="1619"/>
    <col min="5894" max="5894" width="13.1640625" style="1619" customWidth="1"/>
    <col min="5895" max="6144" width="9.33203125" style="1619"/>
    <col min="6145" max="6145" width="64" style="1619" customWidth="1"/>
    <col min="6146" max="6146" width="10.1640625" style="1619" customWidth="1"/>
    <col min="6147" max="6147" width="17.6640625" style="1619" customWidth="1"/>
    <col min="6148" max="6148" width="17.33203125" style="1619" customWidth="1"/>
    <col min="6149" max="6149" width="9.33203125" style="1619"/>
    <col min="6150" max="6150" width="13.1640625" style="1619" customWidth="1"/>
    <col min="6151" max="6400" width="9.33203125" style="1619"/>
    <col min="6401" max="6401" width="64" style="1619" customWidth="1"/>
    <col min="6402" max="6402" width="10.1640625" style="1619" customWidth="1"/>
    <col min="6403" max="6403" width="17.6640625" style="1619" customWidth="1"/>
    <col min="6404" max="6404" width="17.33203125" style="1619" customWidth="1"/>
    <col min="6405" max="6405" width="9.33203125" style="1619"/>
    <col min="6406" max="6406" width="13.1640625" style="1619" customWidth="1"/>
    <col min="6407" max="6656" width="9.33203125" style="1619"/>
    <col min="6657" max="6657" width="64" style="1619" customWidth="1"/>
    <col min="6658" max="6658" width="10.1640625" style="1619" customWidth="1"/>
    <col min="6659" max="6659" width="17.6640625" style="1619" customWidth="1"/>
    <col min="6660" max="6660" width="17.33203125" style="1619" customWidth="1"/>
    <col min="6661" max="6661" width="9.33203125" style="1619"/>
    <col min="6662" max="6662" width="13.1640625" style="1619" customWidth="1"/>
    <col min="6663" max="6912" width="9.33203125" style="1619"/>
    <col min="6913" max="6913" width="64" style="1619" customWidth="1"/>
    <col min="6914" max="6914" width="10.1640625" style="1619" customWidth="1"/>
    <col min="6915" max="6915" width="17.6640625" style="1619" customWidth="1"/>
    <col min="6916" max="6916" width="17.33203125" style="1619" customWidth="1"/>
    <col min="6917" max="6917" width="9.33203125" style="1619"/>
    <col min="6918" max="6918" width="13.1640625" style="1619" customWidth="1"/>
    <col min="6919" max="7168" width="9.33203125" style="1619"/>
    <col min="7169" max="7169" width="64" style="1619" customWidth="1"/>
    <col min="7170" max="7170" width="10.1640625" style="1619" customWidth="1"/>
    <col min="7171" max="7171" width="17.6640625" style="1619" customWidth="1"/>
    <col min="7172" max="7172" width="17.33203125" style="1619" customWidth="1"/>
    <col min="7173" max="7173" width="9.33203125" style="1619"/>
    <col min="7174" max="7174" width="13.1640625" style="1619" customWidth="1"/>
    <col min="7175" max="7424" width="9.33203125" style="1619"/>
    <col min="7425" max="7425" width="64" style="1619" customWidth="1"/>
    <col min="7426" max="7426" width="10.1640625" style="1619" customWidth="1"/>
    <col min="7427" max="7427" width="17.6640625" style="1619" customWidth="1"/>
    <col min="7428" max="7428" width="17.33203125" style="1619" customWidth="1"/>
    <col min="7429" max="7429" width="9.33203125" style="1619"/>
    <col min="7430" max="7430" width="13.1640625" style="1619" customWidth="1"/>
    <col min="7431" max="7680" width="9.33203125" style="1619"/>
    <col min="7681" max="7681" width="64" style="1619" customWidth="1"/>
    <col min="7682" max="7682" width="10.1640625" style="1619" customWidth="1"/>
    <col min="7683" max="7683" width="17.6640625" style="1619" customWidth="1"/>
    <col min="7684" max="7684" width="17.33203125" style="1619" customWidth="1"/>
    <col min="7685" max="7685" width="9.33203125" style="1619"/>
    <col min="7686" max="7686" width="13.1640625" style="1619" customWidth="1"/>
    <col min="7687" max="7936" width="9.33203125" style="1619"/>
    <col min="7937" max="7937" width="64" style="1619" customWidth="1"/>
    <col min="7938" max="7938" width="10.1640625" style="1619" customWidth="1"/>
    <col min="7939" max="7939" width="17.6640625" style="1619" customWidth="1"/>
    <col min="7940" max="7940" width="17.33203125" style="1619" customWidth="1"/>
    <col min="7941" max="7941" width="9.33203125" style="1619"/>
    <col min="7942" max="7942" width="13.1640625" style="1619" customWidth="1"/>
    <col min="7943" max="8192" width="9.33203125" style="1619"/>
    <col min="8193" max="8193" width="64" style="1619" customWidth="1"/>
    <col min="8194" max="8194" width="10.1640625" style="1619" customWidth="1"/>
    <col min="8195" max="8195" width="17.6640625" style="1619" customWidth="1"/>
    <col min="8196" max="8196" width="17.33203125" style="1619" customWidth="1"/>
    <col min="8197" max="8197" width="9.33203125" style="1619"/>
    <col min="8198" max="8198" width="13.1640625" style="1619" customWidth="1"/>
    <col min="8199" max="8448" width="9.33203125" style="1619"/>
    <col min="8449" max="8449" width="64" style="1619" customWidth="1"/>
    <col min="8450" max="8450" width="10.1640625" style="1619" customWidth="1"/>
    <col min="8451" max="8451" width="17.6640625" style="1619" customWidth="1"/>
    <col min="8452" max="8452" width="17.33203125" style="1619" customWidth="1"/>
    <col min="8453" max="8453" width="9.33203125" style="1619"/>
    <col min="8454" max="8454" width="13.1640625" style="1619" customWidth="1"/>
    <col min="8455" max="8704" width="9.33203125" style="1619"/>
    <col min="8705" max="8705" width="64" style="1619" customWidth="1"/>
    <col min="8706" max="8706" width="10.1640625" style="1619" customWidth="1"/>
    <col min="8707" max="8707" width="17.6640625" style="1619" customWidth="1"/>
    <col min="8708" max="8708" width="17.33203125" style="1619" customWidth="1"/>
    <col min="8709" max="8709" width="9.33203125" style="1619"/>
    <col min="8710" max="8710" width="13.1640625" style="1619" customWidth="1"/>
    <col min="8711" max="8960" width="9.33203125" style="1619"/>
    <col min="8961" max="8961" width="64" style="1619" customWidth="1"/>
    <col min="8962" max="8962" width="10.1640625" style="1619" customWidth="1"/>
    <col min="8963" max="8963" width="17.6640625" style="1619" customWidth="1"/>
    <col min="8964" max="8964" width="17.33203125" style="1619" customWidth="1"/>
    <col min="8965" max="8965" width="9.33203125" style="1619"/>
    <col min="8966" max="8966" width="13.1640625" style="1619" customWidth="1"/>
    <col min="8967" max="9216" width="9.33203125" style="1619"/>
    <col min="9217" max="9217" width="64" style="1619" customWidth="1"/>
    <col min="9218" max="9218" width="10.1640625" style="1619" customWidth="1"/>
    <col min="9219" max="9219" width="17.6640625" style="1619" customWidth="1"/>
    <col min="9220" max="9220" width="17.33203125" style="1619" customWidth="1"/>
    <col min="9221" max="9221" width="9.33203125" style="1619"/>
    <col min="9222" max="9222" width="13.1640625" style="1619" customWidth="1"/>
    <col min="9223" max="9472" width="9.33203125" style="1619"/>
    <col min="9473" max="9473" width="64" style="1619" customWidth="1"/>
    <col min="9474" max="9474" width="10.1640625" style="1619" customWidth="1"/>
    <col min="9475" max="9475" width="17.6640625" style="1619" customWidth="1"/>
    <col min="9476" max="9476" width="17.33203125" style="1619" customWidth="1"/>
    <col min="9477" max="9477" width="9.33203125" style="1619"/>
    <col min="9478" max="9478" width="13.1640625" style="1619" customWidth="1"/>
    <col min="9479" max="9728" width="9.33203125" style="1619"/>
    <col min="9729" max="9729" width="64" style="1619" customWidth="1"/>
    <col min="9730" max="9730" width="10.1640625" style="1619" customWidth="1"/>
    <col min="9731" max="9731" width="17.6640625" style="1619" customWidth="1"/>
    <col min="9732" max="9732" width="17.33203125" style="1619" customWidth="1"/>
    <col min="9733" max="9733" width="9.33203125" style="1619"/>
    <col min="9734" max="9734" width="13.1640625" style="1619" customWidth="1"/>
    <col min="9735" max="9984" width="9.33203125" style="1619"/>
    <col min="9985" max="9985" width="64" style="1619" customWidth="1"/>
    <col min="9986" max="9986" width="10.1640625" style="1619" customWidth="1"/>
    <col min="9987" max="9987" width="17.6640625" style="1619" customWidth="1"/>
    <col min="9988" max="9988" width="17.33203125" style="1619" customWidth="1"/>
    <col min="9989" max="9989" width="9.33203125" style="1619"/>
    <col min="9990" max="9990" width="13.1640625" style="1619" customWidth="1"/>
    <col min="9991" max="10240" width="9.33203125" style="1619"/>
    <col min="10241" max="10241" width="64" style="1619" customWidth="1"/>
    <col min="10242" max="10242" width="10.1640625" style="1619" customWidth="1"/>
    <col min="10243" max="10243" width="17.6640625" style="1619" customWidth="1"/>
    <col min="10244" max="10244" width="17.33203125" style="1619" customWidth="1"/>
    <col min="10245" max="10245" width="9.33203125" style="1619"/>
    <col min="10246" max="10246" width="13.1640625" style="1619" customWidth="1"/>
    <col min="10247" max="10496" width="9.33203125" style="1619"/>
    <col min="10497" max="10497" width="64" style="1619" customWidth="1"/>
    <col min="10498" max="10498" width="10.1640625" style="1619" customWidth="1"/>
    <col min="10499" max="10499" width="17.6640625" style="1619" customWidth="1"/>
    <col min="10500" max="10500" width="17.33203125" style="1619" customWidth="1"/>
    <col min="10501" max="10501" width="9.33203125" style="1619"/>
    <col min="10502" max="10502" width="13.1640625" style="1619" customWidth="1"/>
    <col min="10503" max="10752" width="9.33203125" style="1619"/>
    <col min="10753" max="10753" width="64" style="1619" customWidth="1"/>
    <col min="10754" max="10754" width="10.1640625" style="1619" customWidth="1"/>
    <col min="10755" max="10755" width="17.6640625" style="1619" customWidth="1"/>
    <col min="10756" max="10756" width="17.33203125" style="1619" customWidth="1"/>
    <col min="10757" max="10757" width="9.33203125" style="1619"/>
    <col min="10758" max="10758" width="13.1640625" style="1619" customWidth="1"/>
    <col min="10759" max="11008" width="9.33203125" style="1619"/>
    <col min="11009" max="11009" width="64" style="1619" customWidth="1"/>
    <col min="11010" max="11010" width="10.1640625" style="1619" customWidth="1"/>
    <col min="11011" max="11011" width="17.6640625" style="1619" customWidth="1"/>
    <col min="11012" max="11012" width="17.33203125" style="1619" customWidth="1"/>
    <col min="11013" max="11013" width="9.33203125" style="1619"/>
    <col min="11014" max="11014" width="13.1640625" style="1619" customWidth="1"/>
    <col min="11015" max="11264" width="9.33203125" style="1619"/>
    <col min="11265" max="11265" width="64" style="1619" customWidth="1"/>
    <col min="11266" max="11266" width="10.1640625" style="1619" customWidth="1"/>
    <col min="11267" max="11267" width="17.6640625" style="1619" customWidth="1"/>
    <col min="11268" max="11268" width="17.33203125" style="1619" customWidth="1"/>
    <col min="11269" max="11269" width="9.33203125" style="1619"/>
    <col min="11270" max="11270" width="13.1640625" style="1619" customWidth="1"/>
    <col min="11271" max="11520" width="9.33203125" style="1619"/>
    <col min="11521" max="11521" width="64" style="1619" customWidth="1"/>
    <col min="11522" max="11522" width="10.1640625" style="1619" customWidth="1"/>
    <col min="11523" max="11523" width="17.6640625" style="1619" customWidth="1"/>
    <col min="11524" max="11524" width="17.33203125" style="1619" customWidth="1"/>
    <col min="11525" max="11525" width="9.33203125" style="1619"/>
    <col min="11526" max="11526" width="13.1640625" style="1619" customWidth="1"/>
    <col min="11527" max="11776" width="9.33203125" style="1619"/>
    <col min="11777" max="11777" width="64" style="1619" customWidth="1"/>
    <col min="11778" max="11778" width="10.1640625" style="1619" customWidth="1"/>
    <col min="11779" max="11779" width="17.6640625" style="1619" customWidth="1"/>
    <col min="11780" max="11780" width="17.33203125" style="1619" customWidth="1"/>
    <col min="11781" max="11781" width="9.33203125" style="1619"/>
    <col min="11782" max="11782" width="13.1640625" style="1619" customWidth="1"/>
    <col min="11783" max="12032" width="9.33203125" style="1619"/>
    <col min="12033" max="12033" width="64" style="1619" customWidth="1"/>
    <col min="12034" max="12034" width="10.1640625" style="1619" customWidth="1"/>
    <col min="12035" max="12035" width="17.6640625" style="1619" customWidth="1"/>
    <col min="12036" max="12036" width="17.33203125" style="1619" customWidth="1"/>
    <col min="12037" max="12037" width="9.33203125" style="1619"/>
    <col min="12038" max="12038" width="13.1640625" style="1619" customWidth="1"/>
    <col min="12039" max="12288" width="9.33203125" style="1619"/>
    <col min="12289" max="12289" width="64" style="1619" customWidth="1"/>
    <col min="12290" max="12290" width="10.1640625" style="1619" customWidth="1"/>
    <col min="12291" max="12291" width="17.6640625" style="1619" customWidth="1"/>
    <col min="12292" max="12292" width="17.33203125" style="1619" customWidth="1"/>
    <col min="12293" max="12293" width="9.33203125" style="1619"/>
    <col min="12294" max="12294" width="13.1640625" style="1619" customWidth="1"/>
    <col min="12295" max="12544" width="9.33203125" style="1619"/>
    <col min="12545" max="12545" width="64" style="1619" customWidth="1"/>
    <col min="12546" max="12546" width="10.1640625" style="1619" customWidth="1"/>
    <col min="12547" max="12547" width="17.6640625" style="1619" customWidth="1"/>
    <col min="12548" max="12548" width="17.33203125" style="1619" customWidth="1"/>
    <col min="12549" max="12549" width="9.33203125" style="1619"/>
    <col min="12550" max="12550" width="13.1640625" style="1619" customWidth="1"/>
    <col min="12551" max="12800" width="9.33203125" style="1619"/>
    <col min="12801" max="12801" width="64" style="1619" customWidth="1"/>
    <col min="12802" max="12802" width="10.1640625" style="1619" customWidth="1"/>
    <col min="12803" max="12803" width="17.6640625" style="1619" customWidth="1"/>
    <col min="12804" max="12804" width="17.33203125" style="1619" customWidth="1"/>
    <col min="12805" max="12805" width="9.33203125" style="1619"/>
    <col min="12806" max="12806" width="13.1640625" style="1619" customWidth="1"/>
    <col min="12807" max="13056" width="9.33203125" style="1619"/>
    <col min="13057" max="13057" width="64" style="1619" customWidth="1"/>
    <col min="13058" max="13058" width="10.1640625" style="1619" customWidth="1"/>
    <col min="13059" max="13059" width="17.6640625" style="1619" customWidth="1"/>
    <col min="13060" max="13060" width="17.33203125" style="1619" customWidth="1"/>
    <col min="13061" max="13061" width="9.33203125" style="1619"/>
    <col min="13062" max="13062" width="13.1640625" style="1619" customWidth="1"/>
    <col min="13063" max="13312" width="9.33203125" style="1619"/>
    <col min="13313" max="13313" width="64" style="1619" customWidth="1"/>
    <col min="13314" max="13314" width="10.1640625" style="1619" customWidth="1"/>
    <col min="13315" max="13315" width="17.6640625" style="1619" customWidth="1"/>
    <col min="13316" max="13316" width="17.33203125" style="1619" customWidth="1"/>
    <col min="13317" max="13317" width="9.33203125" style="1619"/>
    <col min="13318" max="13318" width="13.1640625" style="1619" customWidth="1"/>
    <col min="13319" max="13568" width="9.33203125" style="1619"/>
    <col min="13569" max="13569" width="64" style="1619" customWidth="1"/>
    <col min="13570" max="13570" width="10.1640625" style="1619" customWidth="1"/>
    <col min="13571" max="13571" width="17.6640625" style="1619" customWidth="1"/>
    <col min="13572" max="13572" width="17.33203125" style="1619" customWidth="1"/>
    <col min="13573" max="13573" width="9.33203125" style="1619"/>
    <col min="13574" max="13574" width="13.1640625" style="1619" customWidth="1"/>
    <col min="13575" max="13824" width="9.33203125" style="1619"/>
    <col min="13825" max="13825" width="64" style="1619" customWidth="1"/>
    <col min="13826" max="13826" width="10.1640625" style="1619" customWidth="1"/>
    <col min="13827" max="13827" width="17.6640625" style="1619" customWidth="1"/>
    <col min="13828" max="13828" width="17.33203125" style="1619" customWidth="1"/>
    <col min="13829" max="13829" width="9.33203125" style="1619"/>
    <col min="13830" max="13830" width="13.1640625" style="1619" customWidth="1"/>
    <col min="13831" max="14080" width="9.33203125" style="1619"/>
    <col min="14081" max="14081" width="64" style="1619" customWidth="1"/>
    <col min="14082" max="14082" width="10.1640625" style="1619" customWidth="1"/>
    <col min="14083" max="14083" width="17.6640625" style="1619" customWidth="1"/>
    <col min="14084" max="14084" width="17.33203125" style="1619" customWidth="1"/>
    <col min="14085" max="14085" width="9.33203125" style="1619"/>
    <col min="14086" max="14086" width="13.1640625" style="1619" customWidth="1"/>
    <col min="14087" max="14336" width="9.33203125" style="1619"/>
    <col min="14337" max="14337" width="64" style="1619" customWidth="1"/>
    <col min="14338" max="14338" width="10.1640625" style="1619" customWidth="1"/>
    <col min="14339" max="14339" width="17.6640625" style="1619" customWidth="1"/>
    <col min="14340" max="14340" width="17.33203125" style="1619" customWidth="1"/>
    <col min="14341" max="14341" width="9.33203125" style="1619"/>
    <col min="14342" max="14342" width="13.1640625" style="1619" customWidth="1"/>
    <col min="14343" max="14592" width="9.33203125" style="1619"/>
    <col min="14593" max="14593" width="64" style="1619" customWidth="1"/>
    <col min="14594" max="14594" width="10.1640625" style="1619" customWidth="1"/>
    <col min="14595" max="14595" width="17.6640625" style="1619" customWidth="1"/>
    <col min="14596" max="14596" width="17.33203125" style="1619" customWidth="1"/>
    <col min="14597" max="14597" width="9.33203125" style="1619"/>
    <col min="14598" max="14598" width="13.1640625" style="1619" customWidth="1"/>
    <col min="14599" max="14848" width="9.33203125" style="1619"/>
    <col min="14849" max="14849" width="64" style="1619" customWidth="1"/>
    <col min="14850" max="14850" width="10.1640625" style="1619" customWidth="1"/>
    <col min="14851" max="14851" width="17.6640625" style="1619" customWidth="1"/>
    <col min="14852" max="14852" width="17.33203125" style="1619" customWidth="1"/>
    <col min="14853" max="14853" width="9.33203125" style="1619"/>
    <col min="14854" max="14854" width="13.1640625" style="1619" customWidth="1"/>
    <col min="14855" max="15104" width="9.33203125" style="1619"/>
    <col min="15105" max="15105" width="64" style="1619" customWidth="1"/>
    <col min="15106" max="15106" width="10.1640625" style="1619" customWidth="1"/>
    <col min="15107" max="15107" width="17.6640625" style="1619" customWidth="1"/>
    <col min="15108" max="15108" width="17.33203125" style="1619" customWidth="1"/>
    <col min="15109" max="15109" width="9.33203125" style="1619"/>
    <col min="15110" max="15110" width="13.1640625" style="1619" customWidth="1"/>
    <col min="15111" max="15360" width="9.33203125" style="1619"/>
    <col min="15361" max="15361" width="64" style="1619" customWidth="1"/>
    <col min="15362" max="15362" width="10.1640625" style="1619" customWidth="1"/>
    <col min="15363" max="15363" width="17.6640625" style="1619" customWidth="1"/>
    <col min="15364" max="15364" width="17.33203125" style="1619" customWidth="1"/>
    <col min="15365" max="15365" width="9.33203125" style="1619"/>
    <col min="15366" max="15366" width="13.1640625" style="1619" customWidth="1"/>
    <col min="15367" max="15616" width="9.33203125" style="1619"/>
    <col min="15617" max="15617" width="64" style="1619" customWidth="1"/>
    <col min="15618" max="15618" width="10.1640625" style="1619" customWidth="1"/>
    <col min="15619" max="15619" width="17.6640625" style="1619" customWidth="1"/>
    <col min="15620" max="15620" width="17.33203125" style="1619" customWidth="1"/>
    <col min="15621" max="15621" width="9.33203125" style="1619"/>
    <col min="15622" max="15622" width="13.1640625" style="1619" customWidth="1"/>
    <col min="15623" max="15872" width="9.33203125" style="1619"/>
    <col min="15873" max="15873" width="64" style="1619" customWidth="1"/>
    <col min="15874" max="15874" width="10.1640625" style="1619" customWidth="1"/>
    <col min="15875" max="15875" width="17.6640625" style="1619" customWidth="1"/>
    <col min="15876" max="15876" width="17.33203125" style="1619" customWidth="1"/>
    <col min="15877" max="15877" width="9.33203125" style="1619"/>
    <col min="15878" max="15878" width="13.1640625" style="1619" customWidth="1"/>
    <col min="15879" max="16128" width="9.33203125" style="1619"/>
    <col min="16129" max="16129" width="64" style="1619" customWidth="1"/>
    <col min="16130" max="16130" width="10.1640625" style="1619" customWidth="1"/>
    <col min="16131" max="16131" width="17.6640625" style="1619" customWidth="1"/>
    <col min="16132" max="16132" width="17.33203125" style="1619" customWidth="1"/>
    <col min="16133" max="16133" width="9.33203125" style="1619"/>
    <col min="16134" max="16134" width="13.1640625" style="1619" customWidth="1"/>
    <col min="16135" max="16384" width="9.33203125" style="1619"/>
  </cols>
  <sheetData>
    <row r="1" spans="1:16" ht="76.5" customHeight="1">
      <c r="A1" s="2006" t="s">
        <v>2452</v>
      </c>
      <c r="B1" s="2006"/>
      <c r="C1" s="2006"/>
      <c r="D1" s="2006"/>
    </row>
    <row r="2" spans="1:16" ht="28.5" customHeight="1">
      <c r="A2" s="1713"/>
      <c r="B2" s="1713"/>
      <c r="C2" s="1713"/>
      <c r="D2" s="1713"/>
    </row>
    <row r="3" spans="1:16" ht="16.5" thickBot="1">
      <c r="A3" s="1714"/>
      <c r="D3" s="1622" t="s">
        <v>2335</v>
      </c>
    </row>
    <row r="4" spans="1:16" ht="15.75" customHeight="1" thickBot="1">
      <c r="A4" s="1681" t="s">
        <v>198</v>
      </c>
      <c r="B4" s="2008" t="s">
        <v>2337</v>
      </c>
      <c r="C4" s="2010" t="s">
        <v>2439</v>
      </c>
      <c r="D4" s="2010" t="s">
        <v>2448</v>
      </c>
    </row>
    <row r="5" spans="1:16" ht="33.75" customHeight="1" thickBot="1">
      <c r="A5" s="1681" t="s">
        <v>2441</v>
      </c>
      <c r="B5" s="2008"/>
      <c r="C5" s="2010"/>
      <c r="D5" s="2010"/>
    </row>
    <row r="6" spans="1:16">
      <c r="A6" s="1715" t="s">
        <v>2449</v>
      </c>
      <c r="B6" s="1716">
        <v>1</v>
      </c>
      <c r="C6" s="1685"/>
      <c r="D6" s="1717"/>
    </row>
    <row r="7" spans="1:16" ht="16.5" thickBot="1">
      <c r="A7" s="1718" t="s">
        <v>2450</v>
      </c>
      <c r="B7" s="1719">
        <v>2</v>
      </c>
      <c r="C7" s="1694"/>
      <c r="D7" s="1720"/>
    </row>
    <row r="8" spans="1:16" ht="16.5" thickBot="1">
      <c r="A8" s="1664" t="s">
        <v>2451</v>
      </c>
      <c r="B8" s="1665">
        <v>3</v>
      </c>
      <c r="C8" s="1668">
        <v>0</v>
      </c>
      <c r="D8" s="1669">
        <f>SUM(D6:D7)</f>
        <v>0</v>
      </c>
    </row>
    <row r="10" spans="1:16" s="1621" customFormat="1">
      <c r="A10" s="1721"/>
      <c r="B10" s="1620"/>
      <c r="E10" s="1619"/>
      <c r="F10" s="1619"/>
      <c r="G10" s="1619"/>
      <c r="H10" s="1619"/>
      <c r="I10" s="1619"/>
      <c r="J10" s="1619"/>
      <c r="K10" s="1619"/>
      <c r="L10" s="1619"/>
      <c r="M10" s="1619"/>
      <c r="N10" s="1619"/>
      <c r="O10" s="1619"/>
      <c r="P10" s="1619"/>
    </row>
    <row r="11" spans="1:16" s="1621" customFormat="1" ht="15.75" customHeight="1">
      <c r="A11" s="2025"/>
      <c r="B11" s="2025"/>
      <c r="E11" s="1619"/>
      <c r="F11" s="1619"/>
      <c r="G11" s="1619"/>
      <c r="H11" s="1619"/>
      <c r="I11" s="1619"/>
      <c r="J11" s="1619"/>
      <c r="K11" s="1619"/>
      <c r="L11" s="1619"/>
      <c r="M11" s="1619"/>
      <c r="N11" s="1619"/>
      <c r="O11" s="1619"/>
      <c r="P11" s="1619"/>
    </row>
  </sheetData>
  <sheetProtection selectLockedCells="1" selectUnlockedCells="1"/>
  <mergeCells count="5">
    <mergeCell ref="A1:D1"/>
    <mergeCell ref="B4:B5"/>
    <mergeCell ref="C4:C5"/>
    <mergeCell ref="D4:D5"/>
    <mergeCell ref="A11:B11"/>
  </mergeCells>
  <printOptions horizontalCentered="1"/>
  <pageMargins left="0.35433070866141736" right="0.19685039370078741" top="0.43307086614173229" bottom="0.35433070866141736" header="0.27559055118110237" footer="0.23622047244094491"/>
  <pageSetup paperSize="9" firstPageNumber="139" orientation="portrait" horizontalDpi="300" verticalDpi="300" r:id="rId1"/>
  <headerFooter alignWithMargins="0">
    <oddHeader>&amp;R&amp;12 17.5.  sz. melléklet</oddHeader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6" sqref="C36"/>
    </sheetView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5" sqref="M35"/>
    </sheetView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view="pageBreakPreview" zoomScaleNormal="130" workbookViewId="0">
      <selection activeCell="D2" sqref="D2:F4"/>
    </sheetView>
  </sheetViews>
  <sheetFormatPr defaultRowHeight="12.75"/>
  <cols>
    <col min="1" max="1" width="6.5" style="151" customWidth="1"/>
    <col min="2" max="2" width="9.6640625" style="152" customWidth="1"/>
    <col min="3" max="3" width="60.83203125" style="152" customWidth="1"/>
    <col min="4" max="4" width="19" style="152" customWidth="1"/>
    <col min="5" max="6" width="15.6640625" style="152" hidden="1" customWidth="1"/>
    <col min="7" max="7" width="10" style="152" hidden="1" customWidth="1"/>
    <col min="8" max="9" width="10.5" style="152" customWidth="1"/>
    <col min="10" max="12" width="9.33203125" style="152" customWidth="1"/>
    <col min="13" max="16384" width="9.33203125" style="152"/>
  </cols>
  <sheetData>
    <row r="1" spans="1:10" s="436" customFormat="1" ht="21" customHeight="1">
      <c r="A1" s="495"/>
      <c r="B1" s="496"/>
      <c r="C1" s="497"/>
      <c r="D1" s="1944" t="s">
        <v>816</v>
      </c>
      <c r="E1" s="1944"/>
      <c r="F1" s="1944"/>
      <c r="G1" s="1944"/>
    </row>
    <row r="2" spans="1:10" s="155" customFormat="1" ht="30" customHeight="1">
      <c r="A2" s="1901" t="s">
        <v>760</v>
      </c>
      <c r="B2" s="1901"/>
      <c r="C2" s="153" t="s">
        <v>817</v>
      </c>
      <c r="D2" s="1950" t="s">
        <v>1259</v>
      </c>
      <c r="E2" s="456"/>
      <c r="F2" s="456"/>
      <c r="G2" s="456"/>
    </row>
    <row r="3" spans="1:10" s="155" customFormat="1" ht="30" customHeight="1">
      <c r="A3" s="1899" t="s">
        <v>258</v>
      </c>
      <c r="B3" s="1899"/>
      <c r="C3" s="156" t="s">
        <v>818</v>
      </c>
      <c r="D3" s="1951"/>
      <c r="E3" s="437"/>
      <c r="F3" s="437"/>
      <c r="G3" s="437"/>
    </row>
    <row r="4" spans="1:10" s="159" customFormat="1" ht="15.95" customHeight="1">
      <c r="A4" s="157"/>
      <c r="B4" s="157"/>
      <c r="C4" s="157"/>
      <c r="D4" s="1953" t="s">
        <v>1260</v>
      </c>
      <c r="E4" s="1953"/>
      <c r="F4" s="1953"/>
      <c r="G4" s="158" t="s">
        <v>194</v>
      </c>
    </row>
    <row r="5" spans="1:10" ht="35.25" customHeigh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10" s="165" customFormat="1" ht="15" customHeight="1">
      <c r="A6" s="160">
        <v>1</v>
      </c>
      <c r="B6" s="163">
        <v>2</v>
      </c>
      <c r="C6" s="163">
        <v>3</v>
      </c>
      <c r="D6" s="164">
        <v>4</v>
      </c>
      <c r="E6" s="164">
        <v>5</v>
      </c>
      <c r="F6" s="164">
        <v>6</v>
      </c>
      <c r="G6" s="164">
        <v>7</v>
      </c>
      <c r="H6" s="2026"/>
      <c r="I6" s="2026"/>
      <c r="J6" s="2026"/>
    </row>
    <row r="7" spans="1:10" s="165" customFormat="1" ht="15" customHeight="1">
      <c r="A7" s="256"/>
      <c r="B7" s="257"/>
      <c r="C7" s="500" t="s">
        <v>196</v>
      </c>
      <c r="D7" s="258"/>
      <c r="E7" s="258"/>
      <c r="F7" s="258"/>
      <c r="G7" s="258"/>
    </row>
    <row r="8" spans="1:10" s="173" customFormat="1" ht="15" customHeight="1">
      <c r="A8" s="170" t="s">
        <v>4</v>
      </c>
      <c r="B8" s="171"/>
      <c r="C8" s="172" t="s">
        <v>762</v>
      </c>
      <c r="D8" s="242">
        <f>SUM(D9:D16)</f>
        <v>0</v>
      </c>
      <c r="E8" s="242">
        <f>SUM(E9:E16)</f>
        <v>0</v>
      </c>
      <c r="F8" s="242">
        <f>SUM(F9:F16)</f>
        <v>0</v>
      </c>
      <c r="G8" s="242" t="e">
        <f>F8/E8*100</f>
        <v>#DIV/0!</v>
      </c>
      <c r="H8" s="518"/>
      <c r="I8" s="518"/>
    </row>
    <row r="9" spans="1:10" s="173" customFormat="1" ht="15" customHeight="1">
      <c r="A9" s="181"/>
      <c r="B9" s="175" t="s">
        <v>102</v>
      </c>
      <c r="C9" s="19" t="s">
        <v>22</v>
      </c>
      <c r="D9" s="245"/>
      <c r="E9" s="245"/>
      <c r="F9" s="245"/>
      <c r="G9" s="245"/>
      <c r="H9" s="518"/>
      <c r="I9" s="518"/>
    </row>
    <row r="10" spans="1:10" s="173" customFormat="1" ht="15" customHeight="1">
      <c r="A10" s="174"/>
      <c r="B10" s="175" t="s">
        <v>104</v>
      </c>
      <c r="C10" s="15" t="s">
        <v>24</v>
      </c>
      <c r="D10" s="243"/>
      <c r="E10" s="243"/>
      <c r="F10" s="243"/>
      <c r="G10" s="243"/>
      <c r="H10" s="518"/>
      <c r="I10" s="518"/>
    </row>
    <row r="11" spans="1:10" s="173" customFormat="1" ht="15" customHeight="1">
      <c r="A11" s="174"/>
      <c r="B11" s="175" t="s">
        <v>106</v>
      </c>
      <c r="C11" s="15" t="s">
        <v>26</v>
      </c>
      <c r="D11" s="243"/>
      <c r="E11" s="243"/>
      <c r="F11" s="243"/>
      <c r="G11" s="243" t="e">
        <f>F11/E11*100</f>
        <v>#DIV/0!</v>
      </c>
      <c r="H11" s="518"/>
      <c r="I11" s="518"/>
    </row>
    <row r="12" spans="1:10" s="173" customFormat="1" ht="15" customHeight="1">
      <c r="A12" s="174"/>
      <c r="B12" s="175" t="s">
        <v>108</v>
      </c>
      <c r="C12" s="15" t="s">
        <v>28</v>
      </c>
      <c r="D12" s="243"/>
      <c r="E12" s="243"/>
      <c r="F12" s="243"/>
      <c r="G12" s="243"/>
      <c r="H12" s="518"/>
      <c r="I12" s="518"/>
    </row>
    <row r="13" spans="1:10" s="173" customFormat="1" ht="15" customHeight="1">
      <c r="A13" s="174"/>
      <c r="B13" s="175" t="s">
        <v>432</v>
      </c>
      <c r="C13" s="22" t="s">
        <v>30</v>
      </c>
      <c r="D13" s="243"/>
      <c r="E13" s="243"/>
      <c r="F13" s="243"/>
      <c r="G13" s="243"/>
      <c r="H13" s="518"/>
      <c r="I13" s="518"/>
    </row>
    <row r="14" spans="1:10" s="173" customFormat="1" ht="15" customHeight="1">
      <c r="A14" s="178"/>
      <c r="B14" s="175" t="s">
        <v>434</v>
      </c>
      <c r="C14" s="15" t="s">
        <v>32</v>
      </c>
      <c r="D14" s="244"/>
      <c r="E14" s="244"/>
      <c r="F14" s="244"/>
      <c r="G14" s="244"/>
      <c r="H14" s="518"/>
      <c r="I14" s="518"/>
    </row>
    <row r="15" spans="1:10" s="177" customFormat="1" ht="15" customHeight="1">
      <c r="A15" s="174"/>
      <c r="B15" s="175" t="s">
        <v>437</v>
      </c>
      <c r="C15" s="15" t="s">
        <v>34</v>
      </c>
      <c r="D15" s="243"/>
      <c r="E15" s="243"/>
      <c r="F15" s="243"/>
      <c r="G15" s="243"/>
      <c r="H15" s="518"/>
      <c r="I15" s="518"/>
    </row>
    <row r="16" spans="1:10" s="177" customFormat="1" ht="15" customHeight="1">
      <c r="A16" s="183"/>
      <c r="B16" s="184" t="s">
        <v>439</v>
      </c>
      <c r="C16" s="22" t="s">
        <v>36</v>
      </c>
      <c r="D16" s="246">
        <v>0</v>
      </c>
      <c r="E16" s="246"/>
      <c r="F16" s="246"/>
      <c r="G16" s="246" t="e">
        <f>F16/E16*100</f>
        <v>#DIV/0!</v>
      </c>
      <c r="H16" s="518"/>
      <c r="I16" s="518"/>
    </row>
    <row r="17" spans="1:11" s="173" customFormat="1" ht="15" customHeight="1">
      <c r="A17" s="170" t="s">
        <v>5</v>
      </c>
      <c r="B17" s="171"/>
      <c r="C17" s="172" t="s">
        <v>763</v>
      </c>
      <c r="D17" s="242">
        <f>SUM(D18:D23)-D19</f>
        <v>0</v>
      </c>
      <c r="E17" s="242">
        <f>SUM(E18:E23)-E19</f>
        <v>0</v>
      </c>
      <c r="F17" s="242">
        <f>SUM(F18:F23)-F19</f>
        <v>0</v>
      </c>
      <c r="G17" s="242" t="e">
        <f>F17/E17*100</f>
        <v>#DIV/0!</v>
      </c>
      <c r="H17" s="518"/>
      <c r="I17" s="518"/>
    </row>
    <row r="18" spans="1:11" s="177" customFormat="1" ht="15" customHeight="1">
      <c r="A18" s="174"/>
      <c r="B18" s="175" t="s">
        <v>6</v>
      </c>
      <c r="C18" s="27" t="s">
        <v>764</v>
      </c>
      <c r="D18" s="243"/>
      <c r="E18" s="243"/>
      <c r="F18" s="243"/>
      <c r="G18" s="243" t="e">
        <f>F18/E18*100</f>
        <v>#DIV/0!</v>
      </c>
      <c r="H18" s="518"/>
      <c r="I18" s="518"/>
      <c r="J18" s="190"/>
      <c r="K18" s="190"/>
    </row>
    <row r="19" spans="1:11" s="177" customFormat="1" ht="15" customHeight="1">
      <c r="A19" s="174"/>
      <c r="B19" s="175"/>
      <c r="C19" s="513" t="s">
        <v>805</v>
      </c>
      <c r="D19" s="243"/>
      <c r="E19" s="243"/>
      <c r="F19" s="243"/>
      <c r="G19" s="243" t="e">
        <f>F19/E19*100</f>
        <v>#DIV/0!</v>
      </c>
      <c r="H19" s="518"/>
      <c r="I19" s="518"/>
    </row>
    <row r="20" spans="1:11" s="177" customFormat="1" ht="15" customHeight="1">
      <c r="A20" s="174"/>
      <c r="B20" s="175" t="s">
        <v>6</v>
      </c>
      <c r="C20" s="27" t="s">
        <v>1213</v>
      </c>
      <c r="D20" s="243"/>
      <c r="E20" s="243"/>
      <c r="F20" s="243"/>
      <c r="G20" s="243" t="e">
        <f>F20/E20*100</f>
        <v>#DIV/0!</v>
      </c>
      <c r="H20" s="518"/>
      <c r="I20" s="518"/>
      <c r="J20" s="190"/>
      <c r="K20" s="190"/>
    </row>
    <row r="21" spans="1:11" s="177" customFormat="1" ht="15" customHeight="1">
      <c r="A21" s="174"/>
      <c r="B21" s="175" t="s">
        <v>8</v>
      </c>
      <c r="C21" s="15" t="s">
        <v>765</v>
      </c>
      <c r="D21" s="243"/>
      <c r="E21" s="243"/>
      <c r="F21" s="243"/>
      <c r="G21" s="243"/>
      <c r="H21" s="518"/>
      <c r="I21" s="518"/>
    </row>
    <row r="22" spans="1:11" s="177" customFormat="1" ht="15" customHeight="1">
      <c r="A22" s="174"/>
      <c r="B22" s="175" t="s">
        <v>10</v>
      </c>
      <c r="C22" s="15" t="s">
        <v>766</v>
      </c>
      <c r="D22" s="243"/>
      <c r="E22" s="243"/>
      <c r="F22" s="243"/>
      <c r="G22" s="243"/>
      <c r="H22" s="518"/>
      <c r="I22" s="518"/>
    </row>
    <row r="23" spans="1:11" s="177" customFormat="1" ht="15" customHeight="1">
      <c r="A23" s="174"/>
      <c r="B23" s="175" t="s">
        <v>12</v>
      </c>
      <c r="C23" s="15" t="s">
        <v>767</v>
      </c>
      <c r="D23" s="243"/>
      <c r="E23" s="243"/>
      <c r="F23" s="243"/>
      <c r="G23" s="243"/>
      <c r="H23" s="518"/>
      <c r="I23" s="518"/>
    </row>
    <row r="24" spans="1:11" s="177" customFormat="1" ht="15" customHeight="1">
      <c r="A24" s="170" t="s">
        <v>19</v>
      </c>
      <c r="B24" s="12"/>
      <c r="C24" s="12" t="s">
        <v>768</v>
      </c>
      <c r="D24" s="209">
        <v>0</v>
      </c>
      <c r="E24" s="209">
        <v>0</v>
      </c>
      <c r="F24" s="209">
        <v>0</v>
      </c>
      <c r="G24" s="209"/>
      <c r="H24" s="518"/>
      <c r="I24" s="518"/>
    </row>
    <row r="25" spans="1:11" s="173" customFormat="1" ht="15" customHeight="1">
      <c r="A25" s="170" t="s">
        <v>149</v>
      </c>
      <c r="B25" s="171"/>
      <c r="C25" s="12" t="s">
        <v>810</v>
      </c>
      <c r="D25" s="209">
        <v>0</v>
      </c>
      <c r="E25" s="209">
        <v>0</v>
      </c>
      <c r="F25" s="209">
        <v>0</v>
      </c>
      <c r="G25" s="209"/>
      <c r="H25" s="518"/>
      <c r="I25" s="518"/>
    </row>
    <row r="26" spans="1:11" s="173" customFormat="1" ht="28.5">
      <c r="A26" s="170" t="s">
        <v>38</v>
      </c>
      <c r="B26" s="198"/>
      <c r="C26" s="12" t="s">
        <v>811</v>
      </c>
      <c r="D26" s="254">
        <f>+D27+D28</f>
        <v>0</v>
      </c>
      <c r="E26" s="254">
        <f>+E27+E28</f>
        <v>0</v>
      </c>
      <c r="F26" s="254">
        <f>+F27+F28</f>
        <v>0</v>
      </c>
      <c r="G26" s="254"/>
      <c r="H26" s="518"/>
      <c r="I26" s="518"/>
    </row>
    <row r="27" spans="1:11" s="173" customFormat="1" ht="15" customHeight="1">
      <c r="A27" s="181"/>
      <c r="B27" s="188" t="s">
        <v>39</v>
      </c>
      <c r="C27" s="19" t="s">
        <v>772</v>
      </c>
      <c r="D27" s="255">
        <v>0</v>
      </c>
      <c r="E27" s="255">
        <v>0</v>
      </c>
      <c r="F27" s="255">
        <v>0</v>
      </c>
      <c r="G27" s="255"/>
      <c r="H27" s="518"/>
      <c r="I27" s="518"/>
    </row>
    <row r="28" spans="1:11" s="173" customFormat="1" ht="15" customHeight="1">
      <c r="A28" s="191"/>
      <c r="B28" s="192" t="s">
        <v>40</v>
      </c>
      <c r="C28" s="24" t="s">
        <v>773</v>
      </c>
      <c r="D28" s="249">
        <v>0</v>
      </c>
      <c r="E28" s="249">
        <v>0</v>
      </c>
      <c r="F28" s="249">
        <v>0</v>
      </c>
      <c r="G28" s="249"/>
      <c r="H28" s="518"/>
      <c r="I28" s="518"/>
    </row>
    <row r="29" spans="1:11" s="177" customFormat="1" ht="15" customHeight="1">
      <c r="A29" s="201" t="s">
        <v>48</v>
      </c>
      <c r="B29" s="202"/>
      <c r="C29" s="12" t="s">
        <v>812</v>
      </c>
      <c r="D29" s="209"/>
      <c r="E29" s="209"/>
      <c r="F29" s="209"/>
      <c r="G29" s="209" t="e">
        <f>F29/E29*100</f>
        <v>#DIV/0!</v>
      </c>
      <c r="H29" s="518"/>
      <c r="I29" s="518"/>
    </row>
    <row r="30" spans="1:11" s="177" customFormat="1" ht="15" customHeight="1">
      <c r="A30" s="201"/>
      <c r="B30" s="202"/>
      <c r="C30" s="12" t="s">
        <v>813</v>
      </c>
      <c r="D30" s="209"/>
      <c r="E30" s="209"/>
      <c r="F30" s="209"/>
      <c r="G30" s="209"/>
      <c r="H30" s="518"/>
      <c r="I30" s="518"/>
    </row>
    <row r="31" spans="1:11" s="177" customFormat="1" ht="15" customHeight="1">
      <c r="A31" s="256" t="s">
        <v>178</v>
      </c>
      <c r="B31" s="257"/>
      <c r="C31" s="467" t="s">
        <v>814</v>
      </c>
      <c r="D31" s="258">
        <f>SUM(D8,D17,D24,D25,D26,D29)</f>
        <v>0</v>
      </c>
      <c r="E31" s="258">
        <f>SUM(E8,E17,E24,E25,E26,E29,E30)</f>
        <v>0</v>
      </c>
      <c r="F31" s="258">
        <f>SUM(F8,F17,F24,F25,F26,F29,F30)</f>
        <v>0</v>
      </c>
      <c r="G31" s="258" t="e">
        <f>F31/E31*100</f>
        <v>#DIV/0!</v>
      </c>
      <c r="H31" s="518"/>
      <c r="I31" s="518"/>
    </row>
    <row r="32" spans="1:11" s="177" customFormat="1" ht="15" customHeight="1">
      <c r="A32" s="449"/>
      <c r="B32" s="449"/>
      <c r="C32" s="468"/>
      <c r="D32" s="501"/>
      <c r="E32" s="501"/>
      <c r="F32" s="501"/>
      <c r="G32" s="501"/>
      <c r="H32" s="518"/>
      <c r="I32" s="518"/>
    </row>
    <row r="33" spans="1:9" s="165" customFormat="1" ht="15" customHeight="1">
      <c r="A33" s="256"/>
      <c r="B33" s="257"/>
      <c r="C33" s="500" t="s">
        <v>197</v>
      </c>
      <c r="D33" s="258"/>
      <c r="E33" s="258"/>
      <c r="F33" s="258"/>
      <c r="G33" s="258"/>
      <c r="H33" s="518"/>
      <c r="I33" s="518"/>
    </row>
    <row r="34" spans="1:9" s="221" customFormat="1" ht="15" customHeight="1">
      <c r="A34" s="170" t="s">
        <v>4</v>
      </c>
      <c r="B34" s="12"/>
      <c r="C34" s="67" t="s">
        <v>101</v>
      </c>
      <c r="D34" s="242">
        <f>SUM(D35+D37+D39)</f>
        <v>0</v>
      </c>
      <c r="E34" s="242">
        <f>SUM(E35+E37+E39)</f>
        <v>0</v>
      </c>
      <c r="F34" s="242">
        <f>SUM(F35+F37+F39)</f>
        <v>0</v>
      </c>
      <c r="G34" s="242" t="e">
        <f t="shared" ref="G34:G40" si="0">F34/E34*100</f>
        <v>#DIV/0!</v>
      </c>
      <c r="H34" s="518"/>
      <c r="I34" s="518"/>
    </row>
    <row r="35" spans="1:9" ht="15" customHeight="1">
      <c r="A35" s="193"/>
      <c r="B35" s="220" t="s">
        <v>102</v>
      </c>
      <c r="C35" s="27" t="s">
        <v>103</v>
      </c>
      <c r="D35" s="250"/>
      <c r="E35" s="250"/>
      <c r="F35" s="250"/>
      <c r="G35" s="250" t="e">
        <f t="shared" si="0"/>
        <v>#DIV/0!</v>
      </c>
      <c r="H35" s="518"/>
      <c r="I35" s="518"/>
    </row>
    <row r="36" spans="1:9" ht="15" customHeight="1">
      <c r="A36" s="193"/>
      <c r="B36" s="220"/>
      <c r="C36" s="513" t="s">
        <v>805</v>
      </c>
      <c r="D36" s="519"/>
      <c r="E36" s="519"/>
      <c r="F36" s="519"/>
      <c r="G36" s="519" t="e">
        <f t="shared" si="0"/>
        <v>#DIV/0!</v>
      </c>
      <c r="H36" s="518"/>
      <c r="I36" s="518"/>
    </row>
    <row r="37" spans="1:9" ht="15" customHeight="1">
      <c r="A37" s="174"/>
      <c r="B37" s="189" t="s">
        <v>104</v>
      </c>
      <c r="C37" s="15" t="s">
        <v>105</v>
      </c>
      <c r="D37" s="243"/>
      <c r="E37" s="243"/>
      <c r="F37" s="243"/>
      <c r="G37" s="243" t="e">
        <f t="shared" si="0"/>
        <v>#DIV/0!</v>
      </c>
      <c r="H37" s="518"/>
      <c r="I37" s="518"/>
    </row>
    <row r="38" spans="1:9" ht="15" customHeight="1">
      <c r="A38" s="174"/>
      <c r="B38" s="189"/>
      <c r="C38" s="513" t="s">
        <v>805</v>
      </c>
      <c r="D38" s="519"/>
      <c r="E38" s="519"/>
      <c r="F38" s="519"/>
      <c r="G38" s="519" t="e">
        <f t="shared" si="0"/>
        <v>#DIV/0!</v>
      </c>
      <c r="H38" s="518"/>
      <c r="I38" s="518"/>
    </row>
    <row r="39" spans="1:9" ht="15" customHeight="1">
      <c r="A39" s="174"/>
      <c r="B39" s="189" t="s">
        <v>106</v>
      </c>
      <c r="C39" s="15" t="s">
        <v>107</v>
      </c>
      <c r="D39" s="243"/>
      <c r="E39" s="243"/>
      <c r="F39" s="243"/>
      <c r="G39" s="243" t="e">
        <f t="shared" si="0"/>
        <v>#DIV/0!</v>
      </c>
      <c r="H39" s="518"/>
      <c r="I39" s="518"/>
    </row>
    <row r="40" spans="1:9" ht="15" customHeight="1">
      <c r="A40" s="174"/>
      <c r="B40" s="189"/>
      <c r="C40" s="513" t="s">
        <v>805</v>
      </c>
      <c r="D40" s="519"/>
      <c r="E40" s="519"/>
      <c r="F40" s="519"/>
      <c r="G40" s="519" t="e">
        <f t="shared" si="0"/>
        <v>#DIV/0!</v>
      </c>
      <c r="H40" s="518"/>
      <c r="I40" s="518"/>
    </row>
    <row r="41" spans="1:9" ht="15" customHeight="1">
      <c r="A41" s="174"/>
      <c r="B41" s="189" t="s">
        <v>108</v>
      </c>
      <c r="C41" s="15" t="s">
        <v>109</v>
      </c>
      <c r="D41" s="243"/>
      <c r="E41" s="243"/>
      <c r="F41" s="243"/>
      <c r="G41" s="243"/>
      <c r="H41" s="518"/>
      <c r="I41" s="518"/>
    </row>
    <row r="42" spans="1:9" ht="15" customHeight="1">
      <c r="A42" s="174"/>
      <c r="B42" s="189" t="s">
        <v>110</v>
      </c>
      <c r="C42" s="15" t="s">
        <v>111</v>
      </c>
      <c r="D42" s="243">
        <v>0</v>
      </c>
      <c r="E42" s="243">
        <v>0</v>
      </c>
      <c r="F42" s="243">
        <v>0</v>
      </c>
      <c r="G42" s="243"/>
      <c r="H42" s="518"/>
      <c r="I42" s="518"/>
    </row>
    <row r="43" spans="1:9" ht="15" customHeight="1">
      <c r="A43" s="170" t="s">
        <v>5</v>
      </c>
      <c r="B43" s="12"/>
      <c r="C43" s="67" t="s">
        <v>787</v>
      </c>
      <c r="D43" s="242">
        <f>SUM(D44:D47)</f>
        <v>0</v>
      </c>
      <c r="E43" s="242">
        <f>SUM(E44:E47)</f>
        <v>0</v>
      </c>
      <c r="F43" s="242">
        <f>SUM(F44:F47)</f>
        <v>0</v>
      </c>
      <c r="G43" s="242"/>
      <c r="H43" s="518"/>
      <c r="I43" s="518"/>
    </row>
    <row r="44" spans="1:9" s="221" customFormat="1" ht="15" customHeight="1">
      <c r="A44" s="193"/>
      <c r="B44" s="220" t="s">
        <v>6</v>
      </c>
      <c r="C44" s="27" t="s">
        <v>780</v>
      </c>
      <c r="D44" s="250">
        <v>0</v>
      </c>
      <c r="E44" s="250">
        <v>0</v>
      </c>
      <c r="F44" s="250">
        <v>0</v>
      </c>
      <c r="G44" s="250"/>
      <c r="H44" s="518"/>
      <c r="I44" s="518"/>
    </row>
    <row r="45" spans="1:9" ht="15" customHeight="1">
      <c r="A45" s="174"/>
      <c r="B45" s="189" t="s">
        <v>8</v>
      </c>
      <c r="C45" s="15" t="s">
        <v>134</v>
      </c>
      <c r="D45" s="243">
        <v>0</v>
      </c>
      <c r="E45" s="243">
        <v>0</v>
      </c>
      <c r="F45" s="243">
        <v>0</v>
      </c>
      <c r="G45" s="243"/>
      <c r="H45" s="518"/>
      <c r="I45" s="518"/>
    </row>
    <row r="46" spans="1:9" ht="30" customHeight="1">
      <c r="A46" s="174"/>
      <c r="B46" s="189" t="s">
        <v>14</v>
      </c>
      <c r="C46" s="15" t="s">
        <v>137</v>
      </c>
      <c r="D46" s="243">
        <v>0</v>
      </c>
      <c r="E46" s="243">
        <v>0</v>
      </c>
      <c r="F46" s="243">
        <v>0</v>
      </c>
      <c r="G46" s="243"/>
      <c r="H46" s="518"/>
      <c r="I46" s="518"/>
    </row>
    <row r="47" spans="1:9" ht="15" customHeight="1">
      <c r="A47" s="174"/>
      <c r="B47" s="189" t="s">
        <v>18</v>
      </c>
      <c r="C47" s="15" t="s">
        <v>781</v>
      </c>
      <c r="D47" s="243">
        <v>0</v>
      </c>
      <c r="E47" s="243">
        <v>0</v>
      </c>
      <c r="F47" s="243">
        <v>0</v>
      </c>
      <c r="G47" s="243"/>
      <c r="H47" s="518"/>
      <c r="I47" s="518"/>
    </row>
    <row r="48" spans="1:9" ht="15" customHeight="1">
      <c r="A48" s="170" t="s">
        <v>19</v>
      </c>
      <c r="B48" s="12"/>
      <c r="C48" s="67" t="s">
        <v>782</v>
      </c>
      <c r="D48" s="209">
        <v>0</v>
      </c>
      <c r="E48" s="209">
        <v>0</v>
      </c>
      <c r="F48" s="209">
        <v>0</v>
      </c>
      <c r="G48" s="209"/>
      <c r="H48" s="518"/>
      <c r="I48" s="518"/>
    </row>
    <row r="49" spans="1:9" s="177" customFormat="1" ht="15" customHeight="1">
      <c r="A49" s="170"/>
      <c r="B49" s="12"/>
      <c r="C49" s="67" t="s">
        <v>783</v>
      </c>
      <c r="D49" s="209"/>
      <c r="E49" s="209"/>
      <c r="F49" s="209"/>
      <c r="G49" s="209"/>
      <c r="H49" s="518"/>
      <c r="I49" s="518"/>
    </row>
    <row r="50" spans="1:9" ht="15" customHeight="1">
      <c r="A50" s="256" t="s">
        <v>149</v>
      </c>
      <c r="B50" s="257"/>
      <c r="C50" s="467" t="s">
        <v>784</v>
      </c>
      <c r="D50" s="258">
        <f>+D34+D43+D48</f>
        <v>0</v>
      </c>
      <c r="E50" s="258">
        <f>+E34+E43+E48+E49</f>
        <v>0</v>
      </c>
      <c r="F50" s="258">
        <f>+F34+F43+F48+F49</f>
        <v>0</v>
      </c>
      <c r="G50" s="258" t="e">
        <f>F50/E50*100</f>
        <v>#DIV/0!</v>
      </c>
      <c r="H50" s="518"/>
      <c r="I50" s="518"/>
    </row>
    <row r="51" spans="1:9" ht="15" customHeight="1">
      <c r="A51" s="517"/>
      <c r="B51" s="449"/>
      <c r="C51" s="468" t="s">
        <v>815</v>
      </c>
      <c r="D51" s="501">
        <f>SUM(D36+D38+D40)</f>
        <v>0</v>
      </c>
      <c r="E51" s="501">
        <f>SUM(E36+E38+E40)</f>
        <v>0</v>
      </c>
      <c r="F51" s="501">
        <f>SUM(F36+F38+F40)</f>
        <v>0</v>
      </c>
      <c r="G51" s="501" t="e">
        <f>F51/E51*100</f>
        <v>#DIV/0!</v>
      </c>
      <c r="H51" s="518"/>
      <c r="I51" s="518"/>
    </row>
    <row r="52" spans="1:9" ht="15" customHeight="1">
      <c r="A52" s="232" t="s">
        <v>289</v>
      </c>
      <c r="B52" s="233"/>
      <c r="C52" s="234"/>
      <c r="D52" s="469"/>
      <c r="E52" s="469"/>
      <c r="F52" s="469"/>
      <c r="G52" s="469"/>
      <c r="H52" s="518"/>
      <c r="I52" s="518"/>
    </row>
    <row r="53" spans="1:9" ht="15" customHeight="1">
      <c r="A53" s="232" t="s">
        <v>290</v>
      </c>
      <c r="B53" s="233"/>
      <c r="C53" s="234"/>
      <c r="D53" s="469"/>
      <c r="E53" s="469"/>
      <c r="F53" s="469"/>
      <c r="G53" s="469"/>
    </row>
  </sheetData>
  <sheetProtection selectLockedCells="1" selectUnlockedCells="1"/>
  <mergeCells count="7">
    <mergeCell ref="H6:J6"/>
    <mergeCell ref="D2:D3"/>
    <mergeCell ref="D1:G1"/>
    <mergeCell ref="A2:B2"/>
    <mergeCell ref="A3:B3"/>
    <mergeCell ref="D4:F4"/>
    <mergeCell ref="A5:B5"/>
  </mergeCells>
  <printOptions horizontalCentered="1"/>
  <pageMargins left="0.23622047244094491" right="0.23622047244094491" top="0.31496062992125984" bottom="0.39370078740157483" header="0.51181102362204722" footer="0.19685039370078741"/>
  <pageSetup paperSize="9" scale="82" firstPageNumber="42" orientation="portrait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view="pageBreakPreview" topLeftCell="O4" zoomScale="110" zoomScaleNormal="70" zoomScaleSheetLayoutView="110" workbookViewId="0">
      <pane ySplit="3315"/>
      <selection activeCell="Z6" sqref="Z1:AB1048576"/>
      <selection pane="bottomLeft" activeCell="X25" sqref="X25"/>
    </sheetView>
  </sheetViews>
  <sheetFormatPr defaultRowHeight="15"/>
  <cols>
    <col min="1" max="1" width="58.83203125" style="979" customWidth="1"/>
    <col min="2" max="2" width="12.1640625" style="979" customWidth="1"/>
    <col min="3" max="3" width="12.5" style="979" customWidth="1"/>
    <col min="4" max="4" width="11.5" style="979" customWidth="1"/>
    <col min="5" max="5" width="12.1640625" style="979" customWidth="1"/>
    <col min="6" max="7" width="11.5" style="979" customWidth="1"/>
    <col min="8" max="8" width="9.83203125" style="968" customWidth="1"/>
    <col min="9" max="9" width="11.5" style="968" customWidth="1"/>
    <col min="10" max="10" width="10.83203125" style="968" customWidth="1"/>
    <col min="11" max="13" width="9.83203125" style="968" customWidth="1"/>
    <col min="14" max="14" width="10.83203125" style="968" customWidth="1"/>
    <col min="15" max="15" width="12.1640625" style="968" customWidth="1"/>
    <col min="16" max="16" width="12" style="968" customWidth="1"/>
    <col min="17" max="17" width="9.5" style="968" customWidth="1"/>
    <col min="18" max="19" width="9.83203125" style="968" customWidth="1"/>
    <col min="20" max="20" width="9.6640625" style="968" customWidth="1"/>
    <col min="21" max="21" width="9.5" style="968" customWidth="1"/>
    <col min="22" max="22" width="9.83203125" style="968" customWidth="1"/>
    <col min="23" max="23" width="11.5" style="968" customWidth="1"/>
    <col min="24" max="24" width="11.83203125" style="968" customWidth="1"/>
    <col min="25" max="27" width="9.83203125" style="968" customWidth="1"/>
    <col min="28" max="28" width="22.83203125" style="979" customWidth="1"/>
    <col min="29" max="16384" width="9.33203125" style="979"/>
  </cols>
  <sheetData>
    <row r="1" spans="1:30" ht="20.25">
      <c r="A1" s="1822" t="s">
        <v>1511</v>
      </c>
      <c r="B1" s="1822"/>
      <c r="C1" s="1822"/>
      <c r="D1" s="1822"/>
      <c r="E1" s="1822"/>
      <c r="F1" s="1822"/>
      <c r="G1" s="1822"/>
      <c r="H1" s="1822"/>
      <c r="I1" s="1822"/>
      <c r="J1" s="1822"/>
      <c r="K1" s="1822"/>
      <c r="L1" s="1822"/>
      <c r="M1" s="1822"/>
      <c r="N1" s="1822"/>
      <c r="O1" s="1822"/>
      <c r="P1" s="1822"/>
      <c r="Q1" s="1822"/>
      <c r="R1" s="1822"/>
      <c r="S1" s="1822"/>
      <c r="T1" s="1822"/>
      <c r="U1" s="1822"/>
      <c r="V1" s="1822"/>
      <c r="W1" s="1822"/>
      <c r="X1" s="1822"/>
      <c r="Y1" s="1822"/>
      <c r="Z1" s="1029"/>
      <c r="AA1" s="1029"/>
      <c r="AB1" s="978"/>
      <c r="AC1" s="978"/>
      <c r="AD1" s="978"/>
    </row>
    <row r="2" spans="1:30" ht="20.25">
      <c r="A2" s="1860" t="s">
        <v>1387</v>
      </c>
      <c r="B2" s="1860"/>
      <c r="C2" s="1860"/>
      <c r="D2" s="1860"/>
      <c r="E2" s="1860"/>
      <c r="F2" s="1860"/>
      <c r="G2" s="1860"/>
      <c r="H2" s="1860"/>
      <c r="I2" s="1860"/>
      <c r="J2" s="1860"/>
      <c r="K2" s="1860"/>
      <c r="L2" s="1860"/>
      <c r="M2" s="1860"/>
      <c r="N2" s="1860"/>
      <c r="O2" s="1860"/>
      <c r="P2" s="1860"/>
      <c r="Q2" s="1860"/>
      <c r="R2" s="1860"/>
      <c r="S2" s="1860"/>
      <c r="T2" s="1860"/>
      <c r="U2" s="1860"/>
      <c r="V2" s="1860"/>
      <c r="W2" s="1860"/>
      <c r="X2" s="1860"/>
      <c r="Y2" s="1860"/>
      <c r="Z2" s="1030"/>
      <c r="AA2" s="1030"/>
    </row>
    <row r="3" spans="1:30" ht="42.75" customHeight="1" thickBot="1">
      <c r="H3" s="969"/>
      <c r="I3" s="969"/>
      <c r="J3" s="969"/>
      <c r="K3" s="969"/>
      <c r="L3" s="969"/>
      <c r="M3" s="969"/>
      <c r="N3" s="969"/>
      <c r="O3" s="969"/>
      <c r="P3" s="969"/>
      <c r="Q3" s="969"/>
      <c r="R3" s="969"/>
      <c r="S3" s="969"/>
      <c r="T3" s="969"/>
      <c r="U3" s="969"/>
      <c r="V3" s="969"/>
      <c r="W3" s="969"/>
      <c r="X3" s="969"/>
      <c r="Y3" s="969"/>
      <c r="Z3" s="969"/>
      <c r="AA3" s="969"/>
    </row>
    <row r="4" spans="1:30" ht="57.75" customHeight="1" thickBot="1">
      <c r="A4" s="1861" t="s">
        <v>1506</v>
      </c>
      <c r="B4" s="1864" t="s">
        <v>1457</v>
      </c>
      <c r="C4" s="1865"/>
      <c r="D4" s="1866"/>
      <c r="E4" s="1864" t="s">
        <v>1458</v>
      </c>
      <c r="F4" s="1865"/>
      <c r="G4" s="1866"/>
      <c r="H4" s="1870" t="s">
        <v>1459</v>
      </c>
      <c r="I4" s="1871"/>
      <c r="J4" s="1872"/>
      <c r="K4" s="1870" t="s">
        <v>1460</v>
      </c>
      <c r="L4" s="1871"/>
      <c r="M4" s="1871"/>
      <c r="N4" s="1871"/>
      <c r="O4" s="1871"/>
      <c r="P4" s="1872"/>
      <c r="Q4" s="1855" t="s">
        <v>2031</v>
      </c>
      <c r="R4" s="1856"/>
      <c r="S4" s="1855" t="s">
        <v>772</v>
      </c>
      <c r="T4" s="1877"/>
      <c r="U4" s="1877"/>
      <c r="V4" s="1880" t="s">
        <v>1648</v>
      </c>
      <c r="W4" s="1880"/>
      <c r="X4" s="1880"/>
      <c r="Y4" s="1880"/>
      <c r="Z4" s="1880"/>
      <c r="AA4" s="1880"/>
    </row>
    <row r="5" spans="1:30" ht="32.25" customHeight="1" thickBot="1">
      <c r="A5" s="1862"/>
      <c r="B5" s="1051"/>
      <c r="C5" s="1052"/>
      <c r="D5" s="1036"/>
      <c r="E5" s="1051"/>
      <c r="F5" s="1052"/>
      <c r="G5" s="1036"/>
      <c r="H5" s="1867" t="s">
        <v>1409</v>
      </c>
      <c r="I5" s="1868"/>
      <c r="J5" s="1869"/>
      <c r="K5" s="1867" t="s">
        <v>1507</v>
      </c>
      <c r="L5" s="1868"/>
      <c r="M5" s="1873"/>
      <c r="N5" s="1874" t="s">
        <v>1462</v>
      </c>
      <c r="O5" s="1875"/>
      <c r="P5" s="1876"/>
      <c r="Q5" s="1857"/>
      <c r="R5" s="1858"/>
      <c r="S5" s="1878"/>
      <c r="T5" s="1879"/>
      <c r="U5" s="1879"/>
      <c r="V5" s="1851" t="s">
        <v>200</v>
      </c>
      <c r="W5" s="1851"/>
      <c r="X5" s="1852"/>
      <c r="Y5" s="1853" t="s">
        <v>1463</v>
      </c>
      <c r="Z5" s="1851"/>
      <c r="AA5" s="1854"/>
    </row>
    <row r="6" spans="1:30" ht="48" thickBot="1">
      <c r="A6" s="1863"/>
      <c r="B6" s="1037" t="s">
        <v>1798</v>
      </c>
      <c r="C6" s="1037" t="s">
        <v>1800</v>
      </c>
      <c r="D6" s="1037" t="s">
        <v>1801</v>
      </c>
      <c r="E6" s="1037" t="s">
        <v>1798</v>
      </c>
      <c r="F6" s="1037" t="s">
        <v>1800</v>
      </c>
      <c r="G6" s="1037" t="s">
        <v>1801</v>
      </c>
      <c r="H6" s="980" t="s">
        <v>1799</v>
      </c>
      <c r="I6" s="1053" t="s">
        <v>1800</v>
      </c>
      <c r="J6" s="1053" t="s">
        <v>1801</v>
      </c>
      <c r="K6" s="980" t="s">
        <v>1799</v>
      </c>
      <c r="L6" s="1053" t="s">
        <v>1800</v>
      </c>
      <c r="M6" s="1053" t="s">
        <v>1801</v>
      </c>
      <c r="N6" s="980" t="s">
        <v>1799</v>
      </c>
      <c r="O6" s="1053" t="s">
        <v>1800</v>
      </c>
      <c r="P6" s="1053" t="s">
        <v>1801</v>
      </c>
      <c r="Q6" s="981" t="s">
        <v>1804</v>
      </c>
      <c r="R6" s="982" t="s">
        <v>1803</v>
      </c>
      <c r="S6" s="980" t="s">
        <v>1799</v>
      </c>
      <c r="T6" s="1053" t="s">
        <v>1800</v>
      </c>
      <c r="U6" s="1053" t="s">
        <v>1801</v>
      </c>
      <c r="V6" s="1037" t="s">
        <v>1798</v>
      </c>
      <c r="W6" s="1037" t="s">
        <v>1800</v>
      </c>
      <c r="X6" s="1037" t="s">
        <v>1801</v>
      </c>
      <c r="Y6" s="1037" t="s">
        <v>1798</v>
      </c>
      <c r="Z6" s="1037" t="s">
        <v>1802</v>
      </c>
      <c r="AA6" s="1037" t="s">
        <v>1801</v>
      </c>
    </row>
    <row r="7" spans="1:30" s="1045" customFormat="1" ht="21.75" customHeight="1">
      <c r="A7" s="1233" t="s">
        <v>1666</v>
      </c>
      <c r="B7" s="1040">
        <v>399493</v>
      </c>
      <c r="C7" s="1040">
        <v>479625</v>
      </c>
      <c r="D7" s="1040">
        <v>474634</v>
      </c>
      <c r="E7" s="1041">
        <v>399493</v>
      </c>
      <c r="F7" s="1040">
        <f>SUM(C7)</f>
        <v>479625</v>
      </c>
      <c r="G7" s="1041">
        <v>464468</v>
      </c>
      <c r="H7" s="1042">
        <v>12490</v>
      </c>
      <c r="I7" s="1042">
        <v>14931</v>
      </c>
      <c r="J7" s="1042">
        <v>15839</v>
      </c>
      <c r="K7" s="1042">
        <v>379768</v>
      </c>
      <c r="L7" s="1042">
        <v>361998</v>
      </c>
      <c r="M7" s="1042">
        <v>359381</v>
      </c>
      <c r="N7" s="1042"/>
      <c r="O7" s="1042"/>
      <c r="P7" s="1042"/>
      <c r="Q7" s="1042"/>
      <c r="R7" s="1042"/>
      <c r="S7" s="1042"/>
      <c r="T7" s="1042">
        <v>24012</v>
      </c>
      <c r="U7" s="1042">
        <v>24012</v>
      </c>
      <c r="V7" s="1043">
        <f t="shared" ref="V7:V15" si="0">SUM(E7-H7-K7-N7-Q7-R7-S7)</f>
        <v>7235</v>
      </c>
      <c r="W7" s="1043">
        <f t="shared" ref="W7:W17" si="1">SUM(F7-I7-L7-O7-R7-T7)</f>
        <v>78684</v>
      </c>
      <c r="X7" s="1043">
        <f t="shared" ref="X7:X13" si="2">SUM(G7-J7-M7-P7-U7)</f>
        <v>65236</v>
      </c>
      <c r="Y7" s="1044">
        <f>SUM(E7-H7-K7-N7-Q7-R7-S7-V7)</f>
        <v>0</v>
      </c>
      <c r="Z7" s="1044">
        <f t="shared" ref="Z7:Z23" si="3">SUM(F7-I7-L7-O7-T7-W7)</f>
        <v>0</v>
      </c>
      <c r="AA7" s="1044">
        <f t="shared" ref="AA7:AA23" si="4">SUM(G7-J7-M7-P7-U7-X7)</f>
        <v>0</v>
      </c>
    </row>
    <row r="8" spans="1:30" s="1045" customFormat="1" ht="21.75" customHeight="1">
      <c r="A8" s="1233" t="s">
        <v>1667</v>
      </c>
      <c r="B8" s="1046">
        <v>2000</v>
      </c>
      <c r="C8" s="1047">
        <v>2626</v>
      </c>
      <c r="D8" s="1047">
        <v>2248</v>
      </c>
      <c r="E8" s="1048">
        <v>2000</v>
      </c>
      <c r="F8" s="1047">
        <v>2626</v>
      </c>
      <c r="G8" s="1041">
        <v>2248</v>
      </c>
      <c r="H8" s="1049"/>
      <c r="I8" s="1054"/>
      <c r="J8" s="1054"/>
      <c r="K8" s="1049"/>
      <c r="L8" s="1054"/>
      <c r="M8" s="1054"/>
      <c r="N8" s="1049"/>
      <c r="O8" s="1054"/>
      <c r="P8" s="1054"/>
      <c r="Q8" s="1049"/>
      <c r="R8" s="1049"/>
      <c r="S8" s="1049"/>
      <c r="T8" s="1042"/>
      <c r="U8" s="1042"/>
      <c r="V8" s="1043">
        <f t="shared" si="0"/>
        <v>2000</v>
      </c>
      <c r="W8" s="1043">
        <f t="shared" si="1"/>
        <v>2626</v>
      </c>
      <c r="X8" s="1043">
        <f t="shared" si="2"/>
        <v>2248</v>
      </c>
      <c r="Y8" s="1044">
        <f>SUM(E8-H8-K8-N8-Q8-R8-S8-V8)</f>
        <v>0</v>
      </c>
      <c r="Z8" s="1044">
        <f t="shared" si="3"/>
        <v>0</v>
      </c>
      <c r="AA8" s="1044">
        <f t="shared" si="4"/>
        <v>0</v>
      </c>
    </row>
    <row r="9" spans="1:30" s="1045" customFormat="1" ht="21.75" customHeight="1">
      <c r="A9" s="1233" t="s">
        <v>1668</v>
      </c>
      <c r="B9" s="1046">
        <v>3070</v>
      </c>
      <c r="C9" s="1047">
        <v>3070</v>
      </c>
      <c r="D9" s="1047">
        <v>3070</v>
      </c>
      <c r="E9" s="1046">
        <v>3070</v>
      </c>
      <c r="F9" s="1047">
        <f>SUM(C9)</f>
        <v>3070</v>
      </c>
      <c r="G9" s="1047">
        <f>SUM(D9)</f>
        <v>3070</v>
      </c>
      <c r="H9" s="1049"/>
      <c r="I9" s="1054"/>
      <c r="J9" s="1054"/>
      <c r="K9" s="1049"/>
      <c r="L9" s="1054"/>
      <c r="M9" s="1054"/>
      <c r="N9" s="1049"/>
      <c r="O9" s="1054"/>
      <c r="P9" s="1054"/>
      <c r="Q9" s="1049"/>
      <c r="R9" s="1049"/>
      <c r="S9" s="1049"/>
      <c r="T9" s="1042"/>
      <c r="U9" s="1042"/>
      <c r="V9" s="1043">
        <f t="shared" si="0"/>
        <v>3070</v>
      </c>
      <c r="W9" s="1043">
        <f t="shared" si="1"/>
        <v>3070</v>
      </c>
      <c r="X9" s="1043">
        <f t="shared" si="2"/>
        <v>3070</v>
      </c>
      <c r="Y9" s="1044"/>
      <c r="Z9" s="1044">
        <f t="shared" si="3"/>
        <v>0</v>
      </c>
      <c r="AA9" s="1044">
        <f t="shared" si="4"/>
        <v>0</v>
      </c>
    </row>
    <row r="10" spans="1:30" s="1045" customFormat="1" ht="21.75" customHeight="1">
      <c r="A10" s="1233" t="s">
        <v>1669</v>
      </c>
      <c r="B10" s="1046">
        <v>31706</v>
      </c>
      <c r="C10" s="1047">
        <v>32350</v>
      </c>
      <c r="D10" s="1047">
        <v>7703</v>
      </c>
      <c r="E10" s="1046">
        <v>31706</v>
      </c>
      <c r="F10" s="1047">
        <v>32350</v>
      </c>
      <c r="G10" s="1041">
        <v>7703</v>
      </c>
      <c r="H10" s="1049"/>
      <c r="I10" s="1054"/>
      <c r="J10" s="1054"/>
      <c r="K10" s="1049"/>
      <c r="L10" s="1054"/>
      <c r="M10" s="1054"/>
      <c r="N10" s="1049"/>
      <c r="O10" s="1054"/>
      <c r="P10" s="1054"/>
      <c r="Q10" s="1049"/>
      <c r="R10" s="1049"/>
      <c r="S10" s="1049"/>
      <c r="T10" s="1042">
        <v>23838</v>
      </c>
      <c r="U10" s="1042">
        <v>5229</v>
      </c>
      <c r="V10" s="1043">
        <f t="shared" si="0"/>
        <v>31706</v>
      </c>
      <c r="W10" s="1043">
        <f t="shared" si="1"/>
        <v>8512</v>
      </c>
      <c r="X10" s="1043">
        <f t="shared" si="2"/>
        <v>2474</v>
      </c>
      <c r="Y10" s="1044">
        <f t="shared" ref="Y10:Y24" si="5">SUM(E10-H10-K10-N10-Q10-R10-S10-V10)</f>
        <v>0</v>
      </c>
      <c r="Z10" s="1044">
        <f t="shared" si="3"/>
        <v>0</v>
      </c>
      <c r="AA10" s="1044">
        <f t="shared" si="4"/>
        <v>0</v>
      </c>
    </row>
    <row r="11" spans="1:30" s="1045" customFormat="1" ht="21.75" customHeight="1">
      <c r="A11" s="1233" t="s">
        <v>1670</v>
      </c>
      <c r="B11" s="1046">
        <v>16800</v>
      </c>
      <c r="C11" s="1047">
        <v>31050</v>
      </c>
      <c r="D11" s="1047">
        <v>30400</v>
      </c>
      <c r="E11" s="1046">
        <v>16800</v>
      </c>
      <c r="F11" s="1047">
        <v>31050</v>
      </c>
      <c r="G11" s="1041">
        <v>30400</v>
      </c>
      <c r="H11" s="1049"/>
      <c r="I11" s="1054"/>
      <c r="J11" s="1054"/>
      <c r="K11" s="1049"/>
      <c r="L11" s="1054"/>
      <c r="M11" s="1054"/>
      <c r="N11" s="1049"/>
      <c r="O11" s="1054"/>
      <c r="P11" s="1054"/>
      <c r="Q11" s="1049"/>
      <c r="R11" s="1049"/>
      <c r="S11" s="1049"/>
      <c r="T11" s="1042">
        <v>8200</v>
      </c>
      <c r="U11" s="1042">
        <v>8200</v>
      </c>
      <c r="V11" s="1043">
        <f t="shared" si="0"/>
        <v>16800</v>
      </c>
      <c r="W11" s="1043">
        <f t="shared" si="1"/>
        <v>22850</v>
      </c>
      <c r="X11" s="1043">
        <f t="shared" si="2"/>
        <v>22200</v>
      </c>
      <c r="Y11" s="1044">
        <f t="shared" si="5"/>
        <v>0</v>
      </c>
      <c r="Z11" s="1044">
        <f t="shared" si="3"/>
        <v>0</v>
      </c>
      <c r="AA11" s="1044">
        <f t="shared" si="4"/>
        <v>0</v>
      </c>
    </row>
    <row r="12" spans="1:30" s="1045" customFormat="1" ht="21.75" customHeight="1">
      <c r="A12" s="1233" t="s">
        <v>1671</v>
      </c>
      <c r="B12" s="1046">
        <v>43620</v>
      </c>
      <c r="C12" s="1047">
        <v>87182</v>
      </c>
      <c r="D12" s="1047">
        <v>85182</v>
      </c>
      <c r="E12" s="1046">
        <v>43620</v>
      </c>
      <c r="F12" s="1047">
        <v>87182</v>
      </c>
      <c r="G12" s="1041">
        <v>85182</v>
      </c>
      <c r="H12" s="1049"/>
      <c r="I12" s="1054"/>
      <c r="J12" s="1054"/>
      <c r="K12" s="1049"/>
      <c r="L12" s="1054"/>
      <c r="M12" s="1054"/>
      <c r="N12" s="1049"/>
      <c r="O12" s="1054"/>
      <c r="P12" s="1054"/>
      <c r="Q12" s="1049"/>
      <c r="R12" s="1049"/>
      <c r="S12" s="1049"/>
      <c r="T12" s="1042">
        <v>18367</v>
      </c>
      <c r="U12" s="1042">
        <v>18367</v>
      </c>
      <c r="V12" s="1043">
        <f t="shared" si="0"/>
        <v>43620</v>
      </c>
      <c r="W12" s="1043">
        <f t="shared" si="1"/>
        <v>68815</v>
      </c>
      <c r="X12" s="1043">
        <f t="shared" si="2"/>
        <v>66815</v>
      </c>
      <c r="Y12" s="1044">
        <f t="shared" si="5"/>
        <v>0</v>
      </c>
      <c r="Z12" s="1044">
        <f t="shared" si="3"/>
        <v>0</v>
      </c>
      <c r="AA12" s="1044">
        <f t="shared" si="4"/>
        <v>0</v>
      </c>
    </row>
    <row r="13" spans="1:30" s="1045" customFormat="1" ht="21.75" customHeight="1">
      <c r="A13" s="1233" t="s">
        <v>1672</v>
      </c>
      <c r="B13" s="1046">
        <v>6090</v>
      </c>
      <c r="C13" s="1047">
        <v>35071</v>
      </c>
      <c r="D13" s="1047">
        <v>34707</v>
      </c>
      <c r="E13" s="1046">
        <v>6090</v>
      </c>
      <c r="F13" s="1047">
        <v>35071</v>
      </c>
      <c r="G13" s="1041">
        <v>34707</v>
      </c>
      <c r="H13" s="1049"/>
      <c r="I13" s="1054"/>
      <c r="J13" s="1054"/>
      <c r="K13" s="1049"/>
      <c r="L13" s="1054"/>
      <c r="M13" s="1054"/>
      <c r="N13" s="1049"/>
      <c r="O13" s="1054"/>
      <c r="P13" s="1054"/>
      <c r="Q13" s="1049"/>
      <c r="R13" s="1049"/>
      <c r="S13" s="1049"/>
      <c r="T13" s="1042">
        <v>3020</v>
      </c>
      <c r="U13" s="1042">
        <v>3020</v>
      </c>
      <c r="V13" s="1043">
        <f t="shared" si="0"/>
        <v>6090</v>
      </c>
      <c r="W13" s="1043">
        <f t="shared" si="1"/>
        <v>32051</v>
      </c>
      <c r="X13" s="1043">
        <f t="shared" si="2"/>
        <v>31687</v>
      </c>
      <c r="Y13" s="1044">
        <f t="shared" si="5"/>
        <v>0</v>
      </c>
      <c r="Z13" s="1044">
        <f t="shared" si="3"/>
        <v>0</v>
      </c>
      <c r="AA13" s="1044">
        <f t="shared" si="4"/>
        <v>0</v>
      </c>
    </row>
    <row r="14" spans="1:30" s="1045" customFormat="1" ht="21.75" customHeight="1">
      <c r="A14" s="1233" t="s">
        <v>1673</v>
      </c>
      <c r="B14" s="1046">
        <f>SUM('3.2.sz.melléklet'!E158+'3.2.sz.melléklet'!E157+'3.2.sz.melléklet'!E170+'3.2.sz.melléklet'!E17)</f>
        <v>150500</v>
      </c>
      <c r="C14" s="1046">
        <f>SUM('3.2.sz.melléklet'!F158+'3.2.sz.melléklet'!F157+'3.2.sz.melléklet'!F170+'3.2.sz.melléklet'!F17)</f>
        <v>138494</v>
      </c>
      <c r="D14" s="1046">
        <f>SUM('3.2.sz.melléklet'!G158+'3.2.sz.melléklet'!G157+'3.2.sz.melléklet'!G170+'3.2.sz.melléklet'!G17)</f>
        <v>89735</v>
      </c>
      <c r="E14" s="1048">
        <v>150500</v>
      </c>
      <c r="F14" s="1046">
        <v>138494</v>
      </c>
      <c r="G14" s="1047">
        <v>89735</v>
      </c>
      <c r="H14" s="1049"/>
      <c r="I14" s="1054"/>
      <c r="J14" s="1054"/>
      <c r="K14" s="1049"/>
      <c r="L14" s="1054"/>
      <c r="M14" s="1054"/>
      <c r="N14" s="1049"/>
      <c r="O14" s="1054"/>
      <c r="P14" s="1054"/>
      <c r="Q14" s="1049"/>
      <c r="R14" s="1049"/>
      <c r="S14" s="1049"/>
      <c r="T14" s="1042"/>
      <c r="U14" s="1042"/>
      <c r="V14" s="1043">
        <f t="shared" si="0"/>
        <v>150500</v>
      </c>
      <c r="W14" s="1043">
        <f t="shared" si="1"/>
        <v>138494</v>
      </c>
      <c r="X14" s="1043">
        <v>74958</v>
      </c>
      <c r="Y14" s="1044">
        <f t="shared" si="5"/>
        <v>0</v>
      </c>
      <c r="Z14" s="1044">
        <f t="shared" si="3"/>
        <v>0</v>
      </c>
      <c r="AA14" s="1044">
        <f t="shared" si="4"/>
        <v>14777</v>
      </c>
    </row>
    <row r="15" spans="1:30" s="1045" customFormat="1" ht="21.75" customHeight="1">
      <c r="A15" s="1233" t="s">
        <v>1674</v>
      </c>
      <c r="B15" s="1046">
        <f>SUM('3.2.sz.melléklet'!E18)</f>
        <v>30841</v>
      </c>
      <c r="C15" s="1046">
        <f>SUM('3.2.sz.melléklet'!F18)</f>
        <v>40565</v>
      </c>
      <c r="D15" s="1046">
        <f>SUM('3.2.sz.melléklet'!G18)</f>
        <v>26328</v>
      </c>
      <c r="E15" s="1048">
        <v>30841</v>
      </c>
      <c r="F15" s="1047">
        <v>40565</v>
      </c>
      <c r="G15" s="1047">
        <f>SUM(D15)</f>
        <v>26328</v>
      </c>
      <c r="H15" s="1049"/>
      <c r="I15" s="1054"/>
      <c r="J15" s="1054"/>
      <c r="K15" s="1049"/>
      <c r="L15" s="1054"/>
      <c r="M15" s="1054"/>
      <c r="N15" s="1049"/>
      <c r="O15" s="1054"/>
      <c r="P15" s="1054"/>
      <c r="Q15" s="1049"/>
      <c r="R15" s="1049"/>
      <c r="S15" s="1049"/>
      <c r="T15" s="1042"/>
      <c r="U15" s="1042"/>
      <c r="V15" s="1043">
        <f t="shared" si="0"/>
        <v>30841</v>
      </c>
      <c r="W15" s="1043">
        <f t="shared" si="1"/>
        <v>40565</v>
      </c>
      <c r="X15" s="1043">
        <f t="shared" ref="X15:X20" si="6">SUM(G15-J15-M15-P15-U15)</f>
        <v>26328</v>
      </c>
      <c r="Y15" s="1044">
        <f t="shared" si="5"/>
        <v>0</v>
      </c>
      <c r="Z15" s="1044">
        <f t="shared" si="3"/>
        <v>0</v>
      </c>
      <c r="AA15" s="1044">
        <f t="shared" si="4"/>
        <v>0</v>
      </c>
    </row>
    <row r="16" spans="1:30" s="1045" customFormat="1" ht="21.75" customHeight="1">
      <c r="A16" s="1233" t="s">
        <v>1675</v>
      </c>
      <c r="B16" s="1046">
        <v>20000</v>
      </c>
      <c r="C16" s="1047">
        <f>SUM('3.2.sz.melléklet'!F132)</f>
        <v>692</v>
      </c>
      <c r="D16" s="1047">
        <f>SUM('3.2.sz.melléklet'!G132)</f>
        <v>0</v>
      </c>
      <c r="E16" s="1048">
        <v>20000</v>
      </c>
      <c r="F16" s="1047">
        <f t="shared" ref="F16:G19" si="7">SUM(C16)</f>
        <v>692</v>
      </c>
      <c r="G16" s="1047">
        <f t="shared" si="7"/>
        <v>0</v>
      </c>
      <c r="H16" s="1049"/>
      <c r="I16" s="1054"/>
      <c r="J16" s="1054"/>
      <c r="K16" s="1049"/>
      <c r="L16" s="1054"/>
      <c r="M16" s="1054"/>
      <c r="N16" s="1049"/>
      <c r="O16" s="1054"/>
      <c r="P16" s="1054"/>
      <c r="Q16" s="1049"/>
      <c r="R16" s="1049"/>
      <c r="S16" s="1049"/>
      <c r="T16" s="1042"/>
      <c r="U16" s="1042"/>
      <c r="V16" s="1043"/>
      <c r="W16" s="1043">
        <f t="shared" si="1"/>
        <v>692</v>
      </c>
      <c r="X16" s="1043">
        <f t="shared" si="6"/>
        <v>0</v>
      </c>
      <c r="Y16" s="1044">
        <f t="shared" si="5"/>
        <v>20000</v>
      </c>
      <c r="Z16" s="1044">
        <f t="shared" si="3"/>
        <v>0</v>
      </c>
      <c r="AA16" s="1044">
        <f t="shared" si="4"/>
        <v>0</v>
      </c>
    </row>
    <row r="17" spans="1:27" s="1045" customFormat="1" ht="21.75" customHeight="1">
      <c r="A17" s="1233" t="s">
        <v>1676</v>
      </c>
      <c r="B17" s="1046">
        <v>138305</v>
      </c>
      <c r="C17" s="1047">
        <f>SUM('3.2.sz.melléklet'!F133)</f>
        <v>83054</v>
      </c>
      <c r="D17" s="1047">
        <f>SUM('3.2.sz.melléklet'!G133)</f>
        <v>0</v>
      </c>
      <c r="E17" s="1048">
        <v>138305</v>
      </c>
      <c r="F17" s="1047">
        <f t="shared" si="7"/>
        <v>83054</v>
      </c>
      <c r="G17" s="1047">
        <f t="shared" si="7"/>
        <v>0</v>
      </c>
      <c r="H17" s="1049"/>
      <c r="I17" s="1054"/>
      <c r="J17" s="1054"/>
      <c r="K17" s="1049"/>
      <c r="L17" s="1054"/>
      <c r="M17" s="1054"/>
      <c r="N17" s="1049"/>
      <c r="O17" s="1054"/>
      <c r="P17" s="1054"/>
      <c r="Q17" s="1049"/>
      <c r="R17" s="1049"/>
      <c r="S17" s="1049"/>
      <c r="T17" s="1042">
        <v>65379</v>
      </c>
      <c r="U17" s="1042"/>
      <c r="V17" s="1043">
        <v>36110</v>
      </c>
      <c r="W17" s="1043">
        <f t="shared" si="1"/>
        <v>17675</v>
      </c>
      <c r="X17" s="1043">
        <f t="shared" si="6"/>
        <v>0</v>
      </c>
      <c r="Y17" s="1044">
        <f t="shared" si="5"/>
        <v>102195</v>
      </c>
      <c r="Z17" s="1044">
        <f t="shared" si="3"/>
        <v>0</v>
      </c>
      <c r="AA17" s="1044">
        <f t="shared" si="4"/>
        <v>0</v>
      </c>
    </row>
    <row r="18" spans="1:27" s="1045" customFormat="1" ht="21.75" customHeight="1">
      <c r="A18" s="1233" t="s">
        <v>1677</v>
      </c>
      <c r="B18" s="1046">
        <v>95000</v>
      </c>
      <c r="C18" s="1047">
        <f>SUM('3.2.sz.melléklet'!F167)</f>
        <v>249413</v>
      </c>
      <c r="D18" s="1047">
        <f>SUM('3.2.sz.melléklet'!G167)</f>
        <v>0</v>
      </c>
      <c r="E18" s="1048">
        <v>95000</v>
      </c>
      <c r="F18" s="1047">
        <f t="shared" si="7"/>
        <v>249413</v>
      </c>
      <c r="G18" s="1047">
        <f t="shared" si="7"/>
        <v>0</v>
      </c>
      <c r="H18" s="1049"/>
      <c r="I18" s="1054"/>
      <c r="J18" s="1054"/>
      <c r="K18" s="1049"/>
      <c r="L18" s="1054"/>
      <c r="M18" s="1054"/>
      <c r="N18" s="1049">
        <v>16195</v>
      </c>
      <c r="O18" s="1049"/>
      <c r="P18" s="1049"/>
      <c r="Q18" s="1049"/>
      <c r="R18" s="1049"/>
      <c r="S18" s="1049"/>
      <c r="T18" s="1042">
        <v>132532</v>
      </c>
      <c r="U18" s="1042"/>
      <c r="V18" s="1043"/>
      <c r="W18" s="1043">
        <v>69041</v>
      </c>
      <c r="X18" s="1043">
        <f t="shared" si="6"/>
        <v>0</v>
      </c>
      <c r="Y18" s="1044">
        <f t="shared" si="5"/>
        <v>78805</v>
      </c>
      <c r="Z18" s="1044">
        <f t="shared" si="3"/>
        <v>47840</v>
      </c>
      <c r="AA18" s="1044">
        <f t="shared" si="4"/>
        <v>0</v>
      </c>
    </row>
    <row r="19" spans="1:27" s="1045" customFormat="1" ht="21.75" customHeight="1">
      <c r="A19" s="1233" t="s">
        <v>1678</v>
      </c>
      <c r="B19" s="1046">
        <v>25000</v>
      </c>
      <c r="C19" s="1047">
        <f>SUM('3.2.sz.melléklet'!F148)</f>
        <v>29420</v>
      </c>
      <c r="D19" s="1047">
        <f>SUM('3.2.sz.melléklet'!G148)</f>
        <v>28867</v>
      </c>
      <c r="E19" s="1048">
        <v>25000</v>
      </c>
      <c r="F19" s="1047">
        <f t="shared" si="7"/>
        <v>29420</v>
      </c>
      <c r="G19" s="1047">
        <f t="shared" si="7"/>
        <v>28867</v>
      </c>
      <c r="H19" s="1049"/>
      <c r="I19" s="1054"/>
      <c r="J19" s="1054"/>
      <c r="K19" s="1049"/>
      <c r="L19" s="1054"/>
      <c r="M19" s="1054"/>
      <c r="N19" s="1049">
        <f>SUM('6.1.sz.mell. '!H4)</f>
        <v>25000</v>
      </c>
      <c r="O19" s="1049"/>
      <c r="P19" s="1049"/>
      <c r="Q19" s="1049"/>
      <c r="R19" s="1049"/>
      <c r="S19" s="1049"/>
      <c r="T19" s="1042">
        <v>7553</v>
      </c>
      <c r="U19" s="1042"/>
      <c r="V19" s="1043">
        <v>0</v>
      </c>
      <c r="W19" s="1043">
        <f>SUM(F19-I19-L19-O19-R19-T19)</f>
        <v>21867</v>
      </c>
      <c r="X19" s="1043">
        <f t="shared" si="6"/>
        <v>28867</v>
      </c>
      <c r="Y19" s="1044">
        <f t="shared" si="5"/>
        <v>0</v>
      </c>
      <c r="Z19" s="1044">
        <f t="shared" si="3"/>
        <v>0</v>
      </c>
      <c r="AA19" s="1044">
        <f t="shared" si="4"/>
        <v>0</v>
      </c>
    </row>
    <row r="20" spans="1:27" s="1045" customFormat="1" ht="21.75" customHeight="1">
      <c r="A20" s="1233" t="s">
        <v>1824</v>
      </c>
      <c r="B20" s="1154">
        <v>0</v>
      </c>
      <c r="C20" s="1154">
        <f>SUM('5. sz. mell. '!E57)</f>
        <v>844</v>
      </c>
      <c r="D20" s="1154">
        <f>SUM('5. sz. mell. '!F57)</f>
        <v>844</v>
      </c>
      <c r="E20" s="1155">
        <v>0</v>
      </c>
      <c r="F20" s="1047">
        <f t="shared" ref="F20:F23" si="8">SUM(C20)</f>
        <v>844</v>
      </c>
      <c r="G20" s="1047">
        <f t="shared" ref="G20:G23" si="9">SUM(D20)</f>
        <v>844</v>
      </c>
      <c r="H20" s="1156"/>
      <c r="I20" s="1156"/>
      <c r="J20" s="1156"/>
      <c r="K20" s="1156"/>
      <c r="L20" s="1156"/>
      <c r="M20" s="1156"/>
      <c r="N20" s="1156"/>
      <c r="O20" s="1156"/>
      <c r="P20" s="1156"/>
      <c r="Q20" s="1156"/>
      <c r="R20" s="1156"/>
      <c r="S20" s="1156"/>
      <c r="T20" s="1042">
        <v>727</v>
      </c>
      <c r="U20" s="1042">
        <v>728</v>
      </c>
      <c r="V20" s="1043"/>
      <c r="W20" s="1043">
        <f>SUM(F20-I20-L20-O20-R20-T20)</f>
        <v>117</v>
      </c>
      <c r="X20" s="1043">
        <f t="shared" si="6"/>
        <v>116</v>
      </c>
      <c r="Y20" s="1044">
        <f t="shared" si="5"/>
        <v>0</v>
      </c>
      <c r="Z20" s="1044">
        <f t="shared" si="3"/>
        <v>0</v>
      </c>
      <c r="AA20" s="1044">
        <f t="shared" si="4"/>
        <v>0</v>
      </c>
    </row>
    <row r="21" spans="1:27" s="1045" customFormat="1" ht="21.75" customHeight="1">
      <c r="A21" s="1233" t="s">
        <v>1679</v>
      </c>
      <c r="B21" s="1046">
        <f>SUM('6.2.sz.mell.'!H3)</f>
        <v>91500</v>
      </c>
      <c r="C21" s="1047">
        <f>SUM('6.2.sz.mell.'!J3)</f>
        <v>737794</v>
      </c>
      <c r="D21" s="1047">
        <f>SUM('6.2.sz.mell.'!K3)</f>
        <v>518336</v>
      </c>
      <c r="E21" s="1048">
        <v>91500</v>
      </c>
      <c r="F21" s="1047">
        <f t="shared" si="8"/>
        <v>737794</v>
      </c>
      <c r="G21" s="1047">
        <f t="shared" si="9"/>
        <v>518336</v>
      </c>
      <c r="H21" s="1049"/>
      <c r="I21" s="1054"/>
      <c r="J21" s="1054"/>
      <c r="K21" s="1049"/>
      <c r="L21" s="1054"/>
      <c r="M21" s="1054"/>
      <c r="N21" s="1049">
        <v>91500</v>
      </c>
      <c r="O21" s="1049">
        <v>942</v>
      </c>
      <c r="P21" s="1049">
        <v>942</v>
      </c>
      <c r="Q21" s="1049"/>
      <c r="R21" s="1049"/>
      <c r="S21" s="1049"/>
      <c r="T21" s="1042">
        <v>346508</v>
      </c>
      <c r="U21" s="1042">
        <v>287119</v>
      </c>
      <c r="V21" s="1043">
        <v>0</v>
      </c>
      <c r="W21" s="1043">
        <v>0</v>
      </c>
      <c r="X21" s="1043">
        <v>0</v>
      </c>
      <c r="Y21" s="1044">
        <f t="shared" si="5"/>
        <v>0</v>
      </c>
      <c r="Z21" s="1044">
        <f t="shared" si="3"/>
        <v>390344</v>
      </c>
      <c r="AA21" s="1044">
        <f t="shared" si="4"/>
        <v>230275</v>
      </c>
    </row>
    <row r="22" spans="1:27" s="1045" customFormat="1" ht="21.75" customHeight="1">
      <c r="A22" s="1233" t="s">
        <v>1680</v>
      </c>
      <c r="B22" s="1046">
        <v>24500</v>
      </c>
      <c r="C22" s="1047">
        <f>SUM('4. sz. mell.'!E42)</f>
        <v>8018</v>
      </c>
      <c r="D22" s="1047">
        <f>SUM('4. sz. mell.'!F42)</f>
        <v>8018</v>
      </c>
      <c r="E22" s="1048">
        <v>24500</v>
      </c>
      <c r="F22" s="1047">
        <f t="shared" si="8"/>
        <v>8018</v>
      </c>
      <c r="G22" s="1047">
        <f t="shared" si="9"/>
        <v>8018</v>
      </c>
      <c r="H22" s="1049"/>
      <c r="I22" s="1054"/>
      <c r="J22" s="1054"/>
      <c r="K22" s="1049"/>
      <c r="L22" s="1054"/>
      <c r="M22" s="1054"/>
      <c r="N22" s="1049">
        <v>24500</v>
      </c>
      <c r="O22" s="1049"/>
      <c r="P22" s="1049"/>
      <c r="Q22" s="1049"/>
      <c r="R22" s="1049"/>
      <c r="S22" s="1049"/>
      <c r="T22" s="1042">
        <v>322</v>
      </c>
      <c r="U22" s="1042">
        <v>1903</v>
      </c>
      <c r="V22" s="1043">
        <f>SUM(E22-H22-K22-N22-Q22-R22-S22)</f>
        <v>0</v>
      </c>
      <c r="W22" s="1043"/>
      <c r="X22" s="1043"/>
      <c r="Y22" s="1044">
        <f t="shared" si="5"/>
        <v>0</v>
      </c>
      <c r="Z22" s="1044">
        <f t="shared" si="3"/>
        <v>7696</v>
      </c>
      <c r="AA22" s="1044">
        <f t="shared" si="4"/>
        <v>6115</v>
      </c>
    </row>
    <row r="23" spans="1:27" s="1045" customFormat="1" ht="21.75" customHeight="1">
      <c r="A23" s="1233" t="s">
        <v>1825</v>
      </c>
      <c r="B23" s="1046">
        <v>0</v>
      </c>
      <c r="C23" s="1047">
        <f>SUM('5. sz. mell. '!E56)</f>
        <v>19568</v>
      </c>
      <c r="D23" s="1047">
        <f>SUM('5. sz. mell. '!F56)</f>
        <v>19568</v>
      </c>
      <c r="E23" s="1048">
        <v>0</v>
      </c>
      <c r="F23" s="1047">
        <f t="shared" si="8"/>
        <v>19568</v>
      </c>
      <c r="G23" s="1047">
        <f t="shared" si="9"/>
        <v>19568</v>
      </c>
      <c r="H23" s="1049"/>
      <c r="I23" s="1054"/>
      <c r="J23" s="1054"/>
      <c r="K23" s="1049"/>
      <c r="L23" s="1054"/>
      <c r="M23" s="1054"/>
      <c r="N23" s="1049"/>
      <c r="O23" s="1054"/>
      <c r="P23" s="1054"/>
      <c r="Q23" s="1049"/>
      <c r="R23" s="1049"/>
      <c r="S23" s="1049"/>
      <c r="T23" s="1042">
        <v>6863</v>
      </c>
      <c r="U23" s="1042">
        <v>952</v>
      </c>
      <c r="V23" s="1043">
        <f>SUM(E23-H23-K23-N23-Q23-R23-S23)</f>
        <v>0</v>
      </c>
      <c r="W23" s="1043"/>
      <c r="X23" s="1043"/>
      <c r="Y23" s="1044">
        <f t="shared" si="5"/>
        <v>0</v>
      </c>
      <c r="Z23" s="1044">
        <f t="shared" si="3"/>
        <v>12705</v>
      </c>
      <c r="AA23" s="1044">
        <f t="shared" si="4"/>
        <v>18616</v>
      </c>
    </row>
    <row r="24" spans="1:27" s="1045" customFormat="1" ht="21.75" customHeight="1" thickBot="1">
      <c r="A24" s="1246" t="s">
        <v>2029</v>
      </c>
      <c r="B24" s="1176"/>
      <c r="C24" s="1176"/>
      <c r="D24" s="1176">
        <f>SUM('1.1.sz.mell  '!I18)</f>
        <v>2072329</v>
      </c>
      <c r="E24" s="1177"/>
      <c r="F24" s="1047"/>
      <c r="G24" s="1047">
        <f>SUM('1.1.sz.mell  '!E20)</f>
        <v>2104786</v>
      </c>
      <c r="H24" s="1178"/>
      <c r="I24" s="1178"/>
      <c r="J24" s="1178">
        <v>63069</v>
      </c>
      <c r="K24" s="1178"/>
      <c r="L24" s="1178"/>
      <c r="M24" s="1178">
        <v>106699</v>
      </c>
      <c r="N24" s="1178"/>
      <c r="O24" s="1178"/>
      <c r="P24" s="1178"/>
      <c r="Q24" s="1178"/>
      <c r="R24" s="1178"/>
      <c r="S24" s="1178"/>
      <c r="T24" s="1179"/>
      <c r="U24" s="1179">
        <v>288937</v>
      </c>
      <c r="V24" s="1043"/>
      <c r="W24" s="1043">
        <f>SUM(F24-I24-L24-O24-R24-T24)</f>
        <v>0</v>
      </c>
      <c r="X24" s="1043">
        <v>165454</v>
      </c>
      <c r="Y24" s="1044">
        <f t="shared" si="5"/>
        <v>0</v>
      </c>
      <c r="Z24" s="1055"/>
      <c r="AA24" s="1044">
        <v>242346</v>
      </c>
    </row>
    <row r="25" spans="1:27" s="1038" customFormat="1" ht="21.75" customHeight="1" thickBot="1">
      <c r="A25" s="1056" t="s">
        <v>1181</v>
      </c>
      <c r="B25" s="1057">
        <f t="shared" ref="B25:C25" si="10">SUM(B7:B24)</f>
        <v>1078425</v>
      </c>
      <c r="C25" s="1057">
        <f t="shared" si="10"/>
        <v>1978836</v>
      </c>
      <c r="D25" s="1057">
        <f>SUM(D7:D24)</f>
        <v>3401969</v>
      </c>
      <c r="E25" s="1057">
        <f t="shared" ref="E25:G25" si="11">SUM(E7:E24)</f>
        <v>1078425</v>
      </c>
      <c r="F25" s="1057">
        <f t="shared" si="11"/>
        <v>1978836</v>
      </c>
      <c r="G25" s="1057">
        <f t="shared" si="11"/>
        <v>3424260</v>
      </c>
      <c r="H25" s="1057">
        <f t="shared" ref="H25" si="12">SUM(H7:H24)</f>
        <v>12490</v>
      </c>
      <c r="I25" s="1057">
        <f t="shared" ref="I25" si="13">SUM(I7:I24)</f>
        <v>14931</v>
      </c>
      <c r="J25" s="1057">
        <f t="shared" ref="J25" si="14">SUM(J7:J24)</f>
        <v>78908</v>
      </c>
      <c r="K25" s="1057">
        <f t="shared" ref="K25" si="15">SUM(K7:K24)</f>
        <v>379768</v>
      </c>
      <c r="L25" s="1057">
        <f t="shared" ref="L25" si="16">SUM(L7:L24)</f>
        <v>361998</v>
      </c>
      <c r="M25" s="1057">
        <f t="shared" ref="M25" si="17">SUM(M7:M24)</f>
        <v>466080</v>
      </c>
      <c r="N25" s="1057">
        <f t="shared" ref="N25" si="18">SUM(N7:N24)</f>
        <v>157195</v>
      </c>
      <c r="O25" s="1057">
        <f t="shared" ref="O25" si="19">SUM(O7:O24)</f>
        <v>942</v>
      </c>
      <c r="P25" s="1057">
        <f t="shared" ref="P25" si="20">SUM(P7:P24)</f>
        <v>942</v>
      </c>
      <c r="Q25" s="1057">
        <f t="shared" ref="Q25" si="21">SUM(Q7:Q24)</f>
        <v>0</v>
      </c>
      <c r="R25" s="1057">
        <f t="shared" ref="R25" si="22">SUM(R7:R24)</f>
        <v>0</v>
      </c>
      <c r="S25" s="1057">
        <f t="shared" ref="S25" si="23">SUM(S7:S24)</f>
        <v>0</v>
      </c>
      <c r="T25" s="1057">
        <f t="shared" ref="T25" si="24">SUM(T7:T24)</f>
        <v>637321</v>
      </c>
      <c r="U25" s="1057">
        <f t="shared" ref="U25" si="25">SUM(U7:U24)</f>
        <v>638467</v>
      </c>
      <c r="V25" s="1057">
        <f t="shared" ref="V25" si="26">SUM(V7:V24)</f>
        <v>327972</v>
      </c>
      <c r="W25" s="1057">
        <f t="shared" ref="W25" si="27">SUM(W7:W24)</f>
        <v>505059</v>
      </c>
      <c r="X25" s="1057">
        <f>SUM(X7:X24)</f>
        <v>489453</v>
      </c>
      <c r="Y25" s="1057">
        <f t="shared" ref="Y25" si="28">SUM(Y7:Y24)</f>
        <v>201000</v>
      </c>
      <c r="Z25" s="1057">
        <f t="shared" ref="Z25" si="29">SUM(Z7:Z24)</f>
        <v>458585</v>
      </c>
      <c r="AA25" s="1057">
        <f t="shared" ref="AA25" si="30">SUM(AA7:AA24)</f>
        <v>512129</v>
      </c>
    </row>
    <row r="26" spans="1:27" ht="21" customHeight="1" thickBot="1">
      <c r="B26" s="983"/>
      <c r="C26" s="983"/>
      <c r="D26" s="983"/>
      <c r="E26" s="983"/>
      <c r="F26" s="983"/>
      <c r="G26" s="983"/>
      <c r="H26" s="984"/>
      <c r="I26" s="984"/>
      <c r="J26" s="984"/>
      <c r="K26" s="984"/>
      <c r="L26" s="984"/>
      <c r="M26" s="984"/>
      <c r="N26" s="984"/>
      <c r="O26" s="984"/>
      <c r="P26" s="984"/>
      <c r="Q26" s="984"/>
      <c r="R26" s="984"/>
      <c r="S26" s="984"/>
      <c r="T26" s="984"/>
      <c r="U26" s="984"/>
      <c r="V26" s="984"/>
      <c r="W26" s="984"/>
      <c r="X26" s="984"/>
      <c r="Y26" s="984"/>
      <c r="Z26" s="984"/>
      <c r="AA26" s="984"/>
    </row>
    <row r="27" spans="1:27" ht="48" thickBot="1">
      <c r="B27" s="1037" t="s">
        <v>1798</v>
      </c>
      <c r="C27" s="1037" t="s">
        <v>1800</v>
      </c>
      <c r="D27" s="1037" t="s">
        <v>1801</v>
      </c>
      <c r="E27" s="1037" t="s">
        <v>1798</v>
      </c>
      <c r="F27" s="1037" t="s">
        <v>1800</v>
      </c>
      <c r="G27" s="1037" t="s">
        <v>1801</v>
      </c>
      <c r="H27" s="980" t="s">
        <v>1799</v>
      </c>
      <c r="I27" s="1169" t="s">
        <v>1800</v>
      </c>
      <c r="J27" s="1169" t="s">
        <v>1801</v>
      </c>
      <c r="K27" s="980" t="s">
        <v>1799</v>
      </c>
      <c r="L27" s="1169" t="s">
        <v>1800</v>
      </c>
      <c r="M27" s="1169" t="s">
        <v>1801</v>
      </c>
      <c r="N27" s="980" t="s">
        <v>1799</v>
      </c>
      <c r="O27" s="1169" t="s">
        <v>1800</v>
      </c>
      <c r="P27" s="1169" t="s">
        <v>1801</v>
      </c>
      <c r="Q27" s="981" t="s">
        <v>1804</v>
      </c>
      <c r="R27" s="982" t="s">
        <v>1803</v>
      </c>
      <c r="S27" s="980" t="s">
        <v>1799</v>
      </c>
      <c r="T27" s="1169" t="s">
        <v>1800</v>
      </c>
      <c r="U27" s="1169" t="s">
        <v>1801</v>
      </c>
      <c r="V27" s="1037" t="s">
        <v>1798</v>
      </c>
      <c r="W27" s="1037" t="s">
        <v>1800</v>
      </c>
      <c r="X27" s="1037" t="s">
        <v>1801</v>
      </c>
      <c r="Y27" s="1037" t="s">
        <v>1798</v>
      </c>
      <c r="Z27" s="1037" t="s">
        <v>1802</v>
      </c>
      <c r="AA27" s="1037" t="s">
        <v>1801</v>
      </c>
    </row>
    <row r="28" spans="1:27" ht="21" customHeight="1">
      <c r="A28" s="985"/>
      <c r="B28" s="1859" t="s">
        <v>1681</v>
      </c>
      <c r="C28" s="1859"/>
      <c r="D28" s="1859"/>
      <c r="E28" s="1859" t="s">
        <v>1651</v>
      </c>
      <c r="F28" s="1859"/>
      <c r="G28" s="1859"/>
      <c r="H28" s="1859" t="s">
        <v>272</v>
      </c>
      <c r="I28" s="1859"/>
      <c r="J28" s="1859"/>
      <c r="K28" s="984"/>
      <c r="L28" s="984"/>
      <c r="M28" s="984"/>
      <c r="N28" s="984"/>
      <c r="O28" s="984"/>
      <c r="P28" s="984"/>
      <c r="Q28" s="984"/>
      <c r="R28" s="984"/>
      <c r="S28" s="984" t="s">
        <v>1652</v>
      </c>
      <c r="T28" s="984"/>
      <c r="U28" s="984"/>
      <c r="V28" s="984">
        <v>1625000</v>
      </c>
      <c r="W28" s="984"/>
      <c r="X28" s="984"/>
      <c r="Y28" s="984"/>
      <c r="Z28" s="984"/>
      <c r="AA28" s="984"/>
    </row>
    <row r="29" spans="1:27" ht="21" customHeight="1">
      <c r="A29" s="985"/>
      <c r="B29" s="986"/>
      <c r="C29" s="986"/>
      <c r="D29" s="986"/>
      <c r="E29" s="983"/>
      <c r="F29" s="983"/>
      <c r="G29" s="983"/>
      <c r="H29" s="984"/>
      <c r="I29" s="984"/>
      <c r="J29" s="984"/>
      <c r="K29" s="984"/>
      <c r="L29" s="984"/>
      <c r="M29" s="984"/>
      <c r="N29" s="984"/>
      <c r="O29" s="984"/>
      <c r="P29" s="984"/>
      <c r="Q29" s="984"/>
      <c r="R29" s="984"/>
      <c r="S29" s="984"/>
      <c r="T29" s="984"/>
      <c r="U29" s="984"/>
      <c r="V29" s="984">
        <f>SUM(V25+'[4]1.3. sz. mell'!M54)</f>
        <v>1625000</v>
      </c>
      <c r="W29" s="984"/>
      <c r="X29" s="984"/>
      <c r="Y29" s="984"/>
      <c r="Z29" s="984"/>
      <c r="AA29" s="984"/>
    </row>
    <row r="30" spans="1:27" s="1038" customFormat="1" ht="21" customHeight="1">
      <c r="A30" s="1159" t="s">
        <v>1653</v>
      </c>
      <c r="B30" s="1170">
        <f>SUM(B25+'1.3. sz. mell'!C55+'1.5. sz. mell'!B16)</f>
        <v>3273191</v>
      </c>
      <c r="C30" s="1170">
        <f>SUM(C25+'1.3. sz. mell'!D55+'1.5. sz. mell'!C16)</f>
        <v>4558951</v>
      </c>
      <c r="D30" s="1171">
        <f>SUM(D25+'1.3. sz. mell'!E55+'1.5. sz. mell'!D16)</f>
        <v>5847538</v>
      </c>
      <c r="E30" s="1160">
        <f>SUM('2. sz. mell '!D124)</f>
        <v>3273191</v>
      </c>
      <c r="F30" s="1160">
        <f>SUM('2. sz. mell '!E124)</f>
        <v>4558951</v>
      </c>
      <c r="G30" s="1160">
        <f>SUM('2. sz. mell '!F124)</f>
        <v>5847538</v>
      </c>
      <c r="H30" s="1161">
        <f>SUM(E30-B30)</f>
        <v>0</v>
      </c>
      <c r="I30" s="1161">
        <f>SUM(F30-C30)</f>
        <v>0</v>
      </c>
      <c r="J30" s="1161">
        <f t="shared" ref="I30:J31" si="31">SUM(G30-D30)</f>
        <v>0</v>
      </c>
      <c r="K30" s="1161"/>
      <c r="L30" s="1161"/>
      <c r="M30" s="1161"/>
      <c r="N30" s="1161"/>
      <c r="O30" s="1161"/>
      <c r="P30" s="1161"/>
      <c r="Q30" s="1161"/>
      <c r="R30" s="1161"/>
      <c r="S30" s="1161"/>
      <c r="T30" s="1161"/>
      <c r="U30" s="1161"/>
      <c r="V30" s="1161">
        <f>SUM(V28-V29)</f>
        <v>0</v>
      </c>
      <c r="W30" s="1161"/>
      <c r="X30" s="1161"/>
      <c r="Y30" s="1161"/>
      <c r="Z30" s="1161"/>
      <c r="AA30" s="1161"/>
    </row>
    <row r="31" spans="1:27" s="1038" customFormat="1" ht="21" customHeight="1">
      <c r="A31" s="1159" t="s">
        <v>1409</v>
      </c>
      <c r="B31" s="1172">
        <f>SUM(H25+'1.3. sz. mell'!O55)</f>
        <v>315821.81</v>
      </c>
      <c r="C31" s="1172">
        <f>SUM(I25+'1.3. sz. mell'!P55)</f>
        <v>409773.25</v>
      </c>
      <c r="D31" s="1173">
        <f>SUM(J25+'1.3. sz. mell'!Q55)</f>
        <v>414084.79</v>
      </c>
      <c r="E31" s="1160">
        <f>SUM('2. sz. mell '!D17)</f>
        <v>315822</v>
      </c>
      <c r="F31" s="1160">
        <f>SUM('2. sz. mell '!E17)</f>
        <v>409773</v>
      </c>
      <c r="G31" s="1160">
        <f>SUM('2. sz. mell '!F17)</f>
        <v>414085</v>
      </c>
      <c r="H31" s="1161">
        <f>SUM(E31-B31)</f>
        <v>0.19000000000232831</v>
      </c>
      <c r="I31" s="1161">
        <f t="shared" si="31"/>
        <v>-0.25</v>
      </c>
      <c r="J31" s="1161">
        <f t="shared" si="31"/>
        <v>0.21000000002095476</v>
      </c>
      <c r="K31" s="1161"/>
      <c r="L31" s="1161"/>
      <c r="M31" s="1161"/>
      <c r="N31" s="1161"/>
      <c r="O31" s="1161"/>
      <c r="P31" s="1161"/>
      <c r="Q31" s="1161"/>
      <c r="R31" s="1161"/>
      <c r="S31" s="1161"/>
      <c r="T31" s="1161"/>
      <c r="U31" s="1161"/>
      <c r="V31" s="1161"/>
      <c r="W31" s="1161"/>
      <c r="X31" s="1161"/>
      <c r="Y31" s="1161"/>
      <c r="Z31" s="1161"/>
      <c r="AA31" s="1161"/>
    </row>
    <row r="32" spans="1:27" s="1038" customFormat="1" ht="21" customHeight="1">
      <c r="A32" s="1159" t="s">
        <v>1654</v>
      </c>
      <c r="B32" s="1172">
        <f>SUM('1.3. sz. mell'!I55+'1.3. sz. mell'!L55+'1.5. sz. mell'!H16)</f>
        <v>526670</v>
      </c>
      <c r="C32" s="1172">
        <f>SUM('1.3. sz. mell'!J55+'1.3. sz. mell'!M55+'1.5. sz. mell'!I16)</f>
        <v>636755</v>
      </c>
      <c r="D32" s="1173">
        <f>SUM('1.3. sz. mell'!K55+'1.3. sz. mell'!N55+'1.5. sz. mell'!J16)</f>
        <v>636755</v>
      </c>
      <c r="E32" s="1160">
        <f>SUM('2. sz. mell '!D57)</f>
        <v>526670</v>
      </c>
      <c r="F32" s="1160">
        <f>SUM('2. sz. mell '!E57)</f>
        <v>636755</v>
      </c>
      <c r="G32" s="1160">
        <f>SUM('2. sz. mell '!F57)</f>
        <v>636755</v>
      </c>
      <c r="H32" s="1161">
        <f t="shared" ref="H32:H40" si="32">SUM(E32-B32)</f>
        <v>0</v>
      </c>
      <c r="I32" s="1161">
        <f t="shared" ref="I32:J37" si="33">SUM(F32-C32)</f>
        <v>0</v>
      </c>
      <c r="J32" s="1161">
        <f t="shared" ref="J32:J36" si="34">SUM(G32-D32)</f>
        <v>0</v>
      </c>
      <c r="K32" s="1161"/>
      <c r="L32" s="1161"/>
      <c r="M32" s="1161"/>
      <c r="N32" s="1161"/>
      <c r="O32" s="1161"/>
      <c r="P32" s="1161"/>
      <c r="Q32" s="1161"/>
      <c r="R32" s="1161"/>
      <c r="S32" s="1161"/>
      <c r="T32" s="1161"/>
      <c r="U32" s="1161"/>
      <c r="V32" s="1161"/>
      <c r="W32" s="1161"/>
      <c r="X32" s="1161"/>
      <c r="Y32" s="1161"/>
      <c r="Z32" s="1161"/>
      <c r="AA32" s="1161"/>
    </row>
    <row r="33" spans="1:27" s="1038" customFormat="1" ht="21" customHeight="1">
      <c r="A33" s="1159" t="s">
        <v>1655</v>
      </c>
      <c r="B33" s="1170">
        <f>SUM(K25+'1.3. sz. mell'!R55)</f>
        <v>447504</v>
      </c>
      <c r="C33" s="1170">
        <f>SUM(L25+'1.3. sz. mell'!S55)</f>
        <v>523121</v>
      </c>
      <c r="D33" s="1171">
        <f>SUM(M25+'1.3. sz. mell'!T55)</f>
        <v>523440</v>
      </c>
      <c r="E33" s="1160">
        <f>SUM('2. sz. mell '!D28)</f>
        <v>447504</v>
      </c>
      <c r="F33" s="1160">
        <f>SUM('2. sz. mell '!E28)+'2. sz. mell '!E43</f>
        <v>523121</v>
      </c>
      <c r="G33" s="1160">
        <f>SUM('2. sz. mell '!F28)+'2. sz. mell '!F43</f>
        <v>523440</v>
      </c>
      <c r="H33" s="1161">
        <f t="shared" si="32"/>
        <v>0</v>
      </c>
      <c r="I33" s="1161">
        <f t="shared" si="33"/>
        <v>0</v>
      </c>
      <c r="J33" s="1161">
        <f>SUM(G33-D33)</f>
        <v>0</v>
      </c>
      <c r="K33" s="1161"/>
      <c r="L33" s="1161"/>
      <c r="M33" s="1161"/>
      <c r="N33" s="1161"/>
      <c r="O33" s="1161"/>
      <c r="P33" s="1161"/>
      <c r="Q33" s="1161"/>
      <c r="R33" s="1161"/>
      <c r="S33" s="1161"/>
      <c r="T33" s="1161"/>
      <c r="U33" s="1161"/>
      <c r="V33" s="1161"/>
      <c r="W33" s="1161"/>
      <c r="X33" s="1161"/>
      <c r="Y33" s="1161"/>
      <c r="Z33" s="1161"/>
      <c r="AA33" s="1161"/>
    </row>
    <row r="34" spans="1:27" s="1038" customFormat="1" ht="21" customHeight="1">
      <c r="A34" s="1159" t="s">
        <v>1656</v>
      </c>
      <c r="B34" s="1170">
        <f>SUM('1.4. sz. mell'!N25)</f>
        <v>157195</v>
      </c>
      <c r="C34" s="1170">
        <f>SUM('1.4. sz. mell'!O25)</f>
        <v>942</v>
      </c>
      <c r="D34" s="1171">
        <f>SUM('1.4. sz. mell'!P25)</f>
        <v>942</v>
      </c>
      <c r="E34" s="1160">
        <f>SUM('2. sz. mell '!D37)</f>
        <v>157195</v>
      </c>
      <c r="F34" s="1160">
        <f>SUM('2. sz. mell '!E37)</f>
        <v>942</v>
      </c>
      <c r="G34" s="1160">
        <f>SUM('2. sz. mell '!F37)</f>
        <v>942</v>
      </c>
      <c r="H34" s="1161">
        <f t="shared" si="32"/>
        <v>0</v>
      </c>
      <c r="I34" s="1161">
        <f t="shared" si="33"/>
        <v>0</v>
      </c>
      <c r="J34" s="1161">
        <f t="shared" si="34"/>
        <v>0</v>
      </c>
      <c r="K34" s="1161"/>
      <c r="L34" s="1161"/>
      <c r="M34" s="1161"/>
      <c r="N34" s="1161"/>
      <c r="O34" s="1161"/>
      <c r="P34" s="1161"/>
      <c r="Q34" s="1161"/>
      <c r="R34" s="1161"/>
      <c r="S34" s="1161"/>
      <c r="T34" s="1161"/>
      <c r="U34" s="1161"/>
      <c r="V34" s="1161"/>
      <c r="W34" s="1161"/>
      <c r="X34" s="1161"/>
      <c r="Y34" s="1161"/>
      <c r="Z34" s="1161"/>
      <c r="AA34" s="1161"/>
    </row>
    <row r="35" spans="1:27" s="1038" customFormat="1" ht="21" customHeight="1">
      <c r="A35" s="1159" t="s">
        <v>200</v>
      </c>
      <c r="B35" s="1170">
        <f>SUM(V25+'1.3. sz. mell'!AD55+'1.5. sz. mell'!L16)</f>
        <v>1625000.19</v>
      </c>
      <c r="C35" s="1170">
        <f>SUM(W25+'1.3. sz. mell'!AE55+'1.5. sz. mell'!M16)</f>
        <v>1681447.3</v>
      </c>
      <c r="D35" s="1171">
        <f>SUM(X25+'1.3. sz. mell'!AF55+'1.5. sz. mell'!N16)</f>
        <v>1801945.76</v>
      </c>
      <c r="E35" s="1160">
        <f>SUM('2. sz. mell '!D8)</f>
        <v>1625000</v>
      </c>
      <c r="F35" s="1160">
        <f>SUM('2. sz. mell '!E8)</f>
        <v>1681447</v>
      </c>
      <c r="G35" s="1160">
        <f>SUM('2. sz. mell '!F8)</f>
        <v>1801946</v>
      </c>
      <c r="H35" s="1161">
        <f t="shared" si="32"/>
        <v>-0.18999999994412065</v>
      </c>
      <c r="I35" s="1161">
        <f>SUM(F35-C35)</f>
        <v>-0.30000000004656613</v>
      </c>
      <c r="J35" s="1161">
        <f t="shared" si="34"/>
        <v>0.23999999999068677</v>
      </c>
      <c r="K35" s="1161"/>
      <c r="L35" s="1161"/>
      <c r="M35" s="1161"/>
      <c r="N35" s="1161"/>
      <c r="O35" s="1161"/>
      <c r="P35" s="1161"/>
      <c r="Q35" s="1161"/>
      <c r="R35" s="1161"/>
      <c r="S35" s="1161"/>
      <c r="T35" s="1161"/>
      <c r="U35" s="1161"/>
      <c r="V35" s="1161"/>
      <c r="W35" s="1161"/>
      <c r="X35" s="1161"/>
      <c r="Y35" s="1161"/>
      <c r="Z35" s="1161"/>
      <c r="AA35" s="1161"/>
    </row>
    <row r="36" spans="1:27" s="1038" customFormat="1" ht="21" customHeight="1">
      <c r="A36" s="1159" t="s">
        <v>1418</v>
      </c>
      <c r="B36" s="1170">
        <f>SUM(Y25+'1.3. sz. mell'!AG55)</f>
        <v>201000</v>
      </c>
      <c r="C36" s="1170">
        <f>SUM(Z25+'1.3. sz. mell'!AH55)</f>
        <v>458585</v>
      </c>
      <c r="D36" s="1171">
        <f>SUM(AA25+'1.3. sz. mell'!AI55)</f>
        <v>512129</v>
      </c>
      <c r="E36" s="1160">
        <f>SUM('2. sz. mell '!D46+'2. sz. mell '!D51+'2. sz. mell '!D54)</f>
        <v>201000</v>
      </c>
      <c r="F36" s="1160">
        <f>SUM('2. sz. mell '!E46+'2. sz. mell '!E51+'2. sz. mell '!E54)</f>
        <v>458585</v>
      </c>
      <c r="G36" s="1160">
        <f>SUM('2. sz. mell '!F46+'2. sz. mell '!F51+'2. sz. mell '!F54)</f>
        <v>512129</v>
      </c>
      <c r="H36" s="1161">
        <f t="shared" si="32"/>
        <v>0</v>
      </c>
      <c r="I36" s="1161">
        <f t="shared" si="33"/>
        <v>0</v>
      </c>
      <c r="J36" s="1161">
        <f t="shared" si="34"/>
        <v>0</v>
      </c>
      <c r="K36" s="1161"/>
      <c r="L36" s="1161"/>
      <c r="M36" s="1161"/>
      <c r="N36" s="1161"/>
      <c r="O36" s="1161"/>
      <c r="P36" s="1161"/>
      <c r="Q36" s="1161"/>
      <c r="R36" s="1161"/>
      <c r="S36" s="1161"/>
      <c r="T36" s="1161"/>
      <c r="U36" s="1161"/>
      <c r="V36" s="1161"/>
      <c r="W36" s="1161"/>
      <c r="X36" s="1161"/>
      <c r="Y36" s="1161"/>
      <c r="Z36" s="1161"/>
      <c r="AA36" s="1161"/>
    </row>
    <row r="37" spans="1:27" s="1038" customFormat="1" ht="21" customHeight="1">
      <c r="A37" s="1159" t="s">
        <v>1826</v>
      </c>
      <c r="B37" s="1170"/>
      <c r="C37" s="1170">
        <f>SUM(T25+'1.3. sz. mell'!AB55)</f>
        <v>649866</v>
      </c>
      <c r="D37" s="1170">
        <f>SUM(U25+'1.3. sz. mell'!AC55)</f>
        <v>649866</v>
      </c>
      <c r="E37" s="1160"/>
      <c r="F37" s="1160">
        <f>SUM('2. sz. mell '!E70)</f>
        <v>649866</v>
      </c>
      <c r="G37" s="1160">
        <f>SUM('2. sz. mell '!F70)</f>
        <v>649866</v>
      </c>
      <c r="H37" s="1161"/>
      <c r="I37" s="1161">
        <f t="shared" si="33"/>
        <v>0</v>
      </c>
      <c r="J37" s="1161">
        <f t="shared" si="33"/>
        <v>0</v>
      </c>
      <c r="K37" s="1161"/>
      <c r="L37" s="1161"/>
      <c r="M37" s="1161"/>
      <c r="N37" s="1161"/>
      <c r="O37" s="1161"/>
      <c r="P37" s="1161"/>
      <c r="Q37" s="1161"/>
      <c r="R37" s="1161"/>
      <c r="S37" s="1161"/>
      <c r="T37" s="1161"/>
      <c r="U37" s="1161"/>
      <c r="V37" s="1161"/>
      <c r="W37" s="1161"/>
      <c r="X37" s="1161"/>
      <c r="Y37" s="1161"/>
      <c r="Z37" s="1161"/>
      <c r="AA37" s="1161"/>
    </row>
    <row r="38" spans="1:27" s="1038" customFormat="1" ht="21" customHeight="1">
      <c r="A38" s="1159" t="s">
        <v>2030</v>
      </c>
      <c r="B38" s="1170"/>
      <c r="C38" s="1170">
        <f>SUM('1.3. sz. mell'!Y55)</f>
        <v>198461</v>
      </c>
      <c r="D38" s="1171"/>
      <c r="E38" s="1160"/>
      <c r="F38" s="1160">
        <f>SUM('1.1.sz.mell  '!D20)</f>
        <v>198462</v>
      </c>
      <c r="G38" s="1160"/>
      <c r="H38" s="1161"/>
      <c r="I38" s="1161"/>
      <c r="J38" s="1161"/>
      <c r="K38" s="1161"/>
      <c r="L38" s="1161"/>
      <c r="M38" s="1161"/>
      <c r="N38" s="1161"/>
      <c r="O38" s="1161"/>
      <c r="P38" s="1161"/>
      <c r="Q38" s="1161"/>
      <c r="R38" s="1161"/>
      <c r="S38" s="1161"/>
      <c r="T38" s="1161"/>
      <c r="U38" s="1161"/>
      <c r="V38" s="1161"/>
      <c r="W38" s="1161"/>
      <c r="X38" s="1161"/>
      <c r="Y38" s="1161"/>
      <c r="Z38" s="1161"/>
      <c r="AA38" s="1161"/>
    </row>
    <row r="39" spans="1:27" s="1038" customFormat="1" ht="21" customHeight="1">
      <c r="A39" s="1159"/>
      <c r="B39" s="1170"/>
      <c r="C39" s="1170"/>
      <c r="D39" s="1171"/>
      <c r="E39" s="1160"/>
      <c r="F39" s="1160"/>
      <c r="G39" s="1160"/>
      <c r="H39" s="1161"/>
      <c r="I39" s="1161"/>
      <c r="J39" s="1161"/>
      <c r="K39" s="1161"/>
      <c r="L39" s="1161"/>
      <c r="M39" s="1161"/>
      <c r="N39" s="1161"/>
      <c r="O39" s="1161"/>
      <c r="P39" s="1161"/>
      <c r="Q39" s="1161"/>
      <c r="R39" s="1161"/>
      <c r="S39" s="1161"/>
      <c r="T39" s="1161"/>
      <c r="U39" s="1161"/>
      <c r="V39" s="1161"/>
      <c r="W39" s="1161"/>
      <c r="X39" s="1161"/>
      <c r="Y39" s="1161"/>
      <c r="Z39" s="1161"/>
      <c r="AA39" s="1161"/>
    </row>
    <row r="40" spans="1:27" s="1038" customFormat="1" ht="21" customHeight="1">
      <c r="A40" s="1159" t="s">
        <v>1657</v>
      </c>
      <c r="B40" s="1170">
        <f>SUM(B31:B37)</f>
        <v>3273191</v>
      </c>
      <c r="C40" s="1170">
        <f>SUM(C31:C38)</f>
        <v>4558950.55</v>
      </c>
      <c r="D40" s="1171">
        <f>SUM(D31:D37)</f>
        <v>4539162.55</v>
      </c>
      <c r="E40" s="1160">
        <f>SUM(E31:E37)</f>
        <v>3273191</v>
      </c>
      <c r="F40" s="1160">
        <f>SUM(F31:F38)</f>
        <v>4558951</v>
      </c>
      <c r="G40" s="1160">
        <f>SUM(G31:G37)</f>
        <v>4539163</v>
      </c>
      <c r="H40" s="1161">
        <f t="shared" si="32"/>
        <v>0</v>
      </c>
      <c r="I40" s="1161">
        <f>SUM(F40-C40)</f>
        <v>0.45000000018626451</v>
      </c>
      <c r="J40" s="1161">
        <f t="shared" ref="J40" si="35">SUM(G40-D40)</f>
        <v>0.45000000018626451</v>
      </c>
      <c r="K40" s="1161"/>
      <c r="L40" s="1161"/>
      <c r="M40" s="1161"/>
      <c r="N40" s="1161"/>
      <c r="O40" s="1161"/>
      <c r="P40" s="1161"/>
      <c r="Q40" s="1161"/>
      <c r="R40" s="1161"/>
      <c r="S40" s="1161"/>
      <c r="T40" s="1161"/>
      <c r="U40" s="1161"/>
      <c r="V40" s="1161"/>
      <c r="W40" s="1161"/>
      <c r="X40" s="1161"/>
      <c r="Y40" s="1161"/>
      <c r="Z40" s="1161"/>
      <c r="AA40" s="1161"/>
    </row>
    <row r="41" spans="1:27" s="1038" customFormat="1">
      <c r="A41" s="1821" t="s">
        <v>1508</v>
      </c>
      <c r="B41" s="1821"/>
      <c r="C41" s="1821"/>
      <c r="D41" s="1821"/>
      <c r="E41" s="1821"/>
      <c r="F41" s="1821"/>
      <c r="G41" s="1821"/>
      <c r="H41" s="1821"/>
      <c r="I41" s="1821"/>
      <c r="J41" s="1821"/>
      <c r="K41" s="1821"/>
      <c r="L41" s="1821"/>
      <c r="M41" s="1821"/>
      <c r="N41" s="1821"/>
      <c r="O41" s="1821"/>
      <c r="P41" s="1821"/>
      <c r="Q41" s="1821"/>
      <c r="R41" s="1821"/>
      <c r="S41" s="1821"/>
      <c r="T41" s="1821"/>
      <c r="U41" s="1821"/>
      <c r="V41" s="1821"/>
      <c r="W41" s="1821"/>
      <c r="X41" s="1821"/>
      <c r="Y41" s="1821"/>
      <c r="Z41" s="1162"/>
      <c r="AA41" s="1162"/>
    </row>
    <row r="42" spans="1:27" s="1157" customFormat="1" ht="15.75">
      <c r="A42" s="1821"/>
      <c r="B42" s="1821"/>
      <c r="C42" s="1821"/>
      <c r="D42" s="1821"/>
      <c r="E42" s="1821"/>
      <c r="F42" s="1821"/>
      <c r="G42" s="1821"/>
      <c r="H42" s="1821"/>
      <c r="I42" s="1821"/>
      <c r="J42" s="1821"/>
      <c r="K42" s="1821"/>
      <c r="L42" s="1821"/>
      <c r="M42" s="1821"/>
      <c r="N42" s="1821"/>
      <c r="O42" s="1821"/>
      <c r="P42" s="1821"/>
      <c r="Q42" s="1821"/>
      <c r="R42" s="1821"/>
      <c r="S42" s="1821"/>
      <c r="T42" s="1821"/>
      <c r="U42" s="1821"/>
      <c r="V42" s="1821"/>
      <c r="W42" s="1821"/>
      <c r="X42" s="1821"/>
      <c r="Y42" s="1821"/>
      <c r="Z42" s="1158"/>
      <c r="AA42" s="1158"/>
    </row>
    <row r="43" spans="1:27" ht="20.25">
      <c r="A43" s="1821"/>
      <c r="B43" s="1821"/>
      <c r="C43" s="1821"/>
      <c r="D43" s="1821"/>
      <c r="E43" s="1821"/>
      <c r="F43" s="1821"/>
      <c r="G43" s="1821"/>
      <c r="H43" s="1821"/>
      <c r="I43" s="1821"/>
      <c r="J43" s="1821"/>
      <c r="K43" s="1821"/>
      <c r="L43" s="1821"/>
      <c r="M43" s="1821"/>
      <c r="N43" s="1821"/>
      <c r="O43" s="1821"/>
      <c r="P43" s="1821"/>
      <c r="Q43" s="1821"/>
      <c r="R43" s="1821"/>
      <c r="S43" s="1821"/>
      <c r="T43" s="1821"/>
      <c r="U43" s="1821"/>
      <c r="V43" s="1821"/>
      <c r="W43" s="1821"/>
      <c r="X43" s="1821"/>
      <c r="Y43" s="1821"/>
      <c r="Z43" s="1028"/>
      <c r="AA43" s="1028"/>
    </row>
    <row r="44" spans="1:27" ht="20.25">
      <c r="A44" s="1821"/>
      <c r="B44" s="1821"/>
      <c r="C44" s="1821"/>
      <c r="D44" s="1821"/>
      <c r="E44" s="1821"/>
      <c r="F44" s="1821"/>
      <c r="G44" s="1821"/>
      <c r="H44" s="1821"/>
      <c r="I44" s="1821"/>
      <c r="J44" s="1821"/>
      <c r="K44" s="1821"/>
      <c r="L44" s="1821"/>
      <c r="M44" s="1821"/>
      <c r="N44" s="1821"/>
      <c r="O44" s="1821"/>
      <c r="P44" s="1821"/>
      <c r="Q44" s="1821"/>
      <c r="R44" s="1821"/>
      <c r="S44" s="1821"/>
      <c r="T44" s="1821"/>
      <c r="U44" s="1821"/>
      <c r="V44" s="1821"/>
      <c r="W44" s="1821"/>
      <c r="X44" s="1821"/>
      <c r="Y44" s="1821"/>
      <c r="Z44" s="1028"/>
      <c r="AA44" s="1028"/>
    </row>
    <row r="45" spans="1:27" ht="20.25">
      <c r="A45" s="1821"/>
      <c r="B45" s="1821"/>
      <c r="C45" s="1821"/>
      <c r="D45" s="1821"/>
      <c r="E45" s="1821"/>
      <c r="F45" s="1821"/>
      <c r="G45" s="1821"/>
      <c r="H45" s="1821"/>
      <c r="I45" s="1821"/>
      <c r="J45" s="1821"/>
      <c r="K45" s="1821"/>
      <c r="L45" s="1821"/>
      <c r="M45" s="1821"/>
      <c r="N45" s="1821"/>
      <c r="O45" s="1821"/>
      <c r="P45" s="1821"/>
      <c r="Q45" s="1821"/>
      <c r="R45" s="1821"/>
      <c r="S45" s="1821"/>
      <c r="T45" s="1821"/>
      <c r="U45" s="1821"/>
      <c r="V45" s="1821"/>
      <c r="W45" s="1821"/>
      <c r="X45" s="1821"/>
      <c r="Y45" s="1821"/>
      <c r="Z45" s="1028"/>
      <c r="AA45" s="1028"/>
    </row>
    <row r="46" spans="1:27" ht="20.25">
      <c r="A46" s="1821"/>
      <c r="B46" s="1821"/>
      <c r="C46" s="1821"/>
      <c r="D46" s="1821"/>
      <c r="E46" s="1821"/>
      <c r="F46" s="1821"/>
      <c r="G46" s="1821"/>
      <c r="H46" s="1821"/>
      <c r="I46" s="1821"/>
      <c r="J46" s="1821"/>
      <c r="K46" s="1821"/>
      <c r="L46" s="1821"/>
      <c r="M46" s="1821"/>
      <c r="N46" s="1821"/>
      <c r="O46" s="1821"/>
      <c r="P46" s="1821"/>
      <c r="Q46" s="1821"/>
      <c r="R46" s="1821"/>
      <c r="S46" s="1821"/>
      <c r="T46" s="1821"/>
      <c r="U46" s="1821"/>
      <c r="V46" s="1821"/>
      <c r="W46" s="1821"/>
      <c r="X46" s="1821"/>
      <c r="Y46" s="1821"/>
      <c r="Z46" s="1028"/>
      <c r="AA46" s="1028"/>
    </row>
    <row r="47" spans="1:27" ht="20.25">
      <c r="A47" s="1821"/>
      <c r="B47" s="1821"/>
      <c r="C47" s="1821"/>
      <c r="D47" s="1821"/>
      <c r="E47" s="1821"/>
      <c r="F47" s="1821"/>
      <c r="G47" s="1821"/>
      <c r="H47" s="1821"/>
      <c r="I47" s="1821"/>
      <c r="J47" s="1821"/>
      <c r="K47" s="1821"/>
      <c r="L47" s="1821"/>
      <c r="M47" s="1821"/>
      <c r="N47" s="1821"/>
      <c r="O47" s="1821"/>
      <c r="P47" s="1821"/>
      <c r="Q47" s="1821"/>
      <c r="R47" s="1821"/>
      <c r="S47" s="1821"/>
      <c r="T47" s="1821"/>
      <c r="U47" s="1821"/>
      <c r="V47" s="1821"/>
      <c r="W47" s="1821"/>
      <c r="X47" s="1821"/>
      <c r="Y47" s="1821"/>
      <c r="Z47" s="1028"/>
      <c r="AA47" s="1028"/>
    </row>
    <row r="48" spans="1:27" ht="20.25">
      <c r="A48" s="1821"/>
      <c r="B48" s="1821"/>
      <c r="C48" s="1821"/>
      <c r="D48" s="1821"/>
      <c r="E48" s="1821"/>
      <c r="F48" s="1821"/>
      <c r="G48" s="1821"/>
      <c r="H48" s="1821"/>
      <c r="I48" s="1821"/>
      <c r="J48" s="1821"/>
      <c r="K48" s="1821"/>
      <c r="L48" s="1821"/>
      <c r="M48" s="1821"/>
      <c r="N48" s="1821"/>
      <c r="O48" s="1821"/>
      <c r="P48" s="1821"/>
      <c r="Q48" s="1821"/>
      <c r="R48" s="1821"/>
      <c r="S48" s="1821"/>
      <c r="T48" s="1821"/>
      <c r="U48" s="1821"/>
      <c r="V48" s="1821"/>
      <c r="W48" s="1821"/>
      <c r="X48" s="1821"/>
      <c r="Y48" s="1821"/>
      <c r="Z48" s="1028"/>
      <c r="AA48" s="1028"/>
    </row>
    <row r="49" spans="1:27" ht="20.25">
      <c r="A49" s="1821"/>
      <c r="B49" s="1821"/>
      <c r="C49" s="1821"/>
      <c r="D49" s="1821"/>
      <c r="E49" s="1821"/>
      <c r="F49" s="1821"/>
      <c r="G49" s="1821"/>
      <c r="H49" s="1821"/>
      <c r="I49" s="1821"/>
      <c r="J49" s="1821"/>
      <c r="K49" s="1821"/>
      <c r="L49" s="1821"/>
      <c r="M49" s="1821"/>
      <c r="N49" s="1821"/>
      <c r="O49" s="1821"/>
      <c r="P49" s="1821"/>
      <c r="Q49" s="1821"/>
      <c r="R49" s="1821"/>
      <c r="S49" s="1821"/>
      <c r="T49" s="1821"/>
      <c r="U49" s="1821"/>
      <c r="V49" s="1821"/>
      <c r="W49" s="1821"/>
      <c r="X49" s="1821"/>
      <c r="Y49" s="1821"/>
      <c r="Z49" s="1028"/>
      <c r="AA49" s="1028"/>
    </row>
    <row r="50" spans="1:27" ht="20.25">
      <c r="A50" s="1821"/>
      <c r="B50" s="1821"/>
      <c r="C50" s="1821"/>
      <c r="D50" s="1821"/>
      <c r="E50" s="1821"/>
      <c r="F50" s="1821"/>
      <c r="G50" s="1821"/>
      <c r="H50" s="1821"/>
      <c r="I50" s="1821"/>
      <c r="J50" s="1821"/>
      <c r="K50" s="1821"/>
      <c r="L50" s="1821"/>
      <c r="M50" s="1821"/>
      <c r="N50" s="1821"/>
      <c r="O50" s="1821"/>
      <c r="P50" s="1821"/>
      <c r="Q50" s="1821"/>
      <c r="R50" s="1821"/>
      <c r="S50" s="1821"/>
      <c r="T50" s="1821"/>
      <c r="U50" s="1821"/>
      <c r="V50" s="1821"/>
      <c r="W50" s="1821"/>
      <c r="X50" s="1821"/>
      <c r="Y50" s="1821"/>
      <c r="Z50" s="1028"/>
      <c r="AA50" s="1028"/>
    </row>
    <row r="51" spans="1:27" ht="20.25">
      <c r="A51" s="1821"/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028"/>
      <c r="AA51" s="1028"/>
    </row>
    <row r="52" spans="1:27" ht="20.25">
      <c r="A52" s="1821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028"/>
      <c r="AA52" s="1028"/>
    </row>
    <row r="53" spans="1:27" ht="20.25">
      <c r="A53" s="1821"/>
      <c r="B53" s="1821"/>
      <c r="C53" s="1821"/>
      <c r="D53" s="1821"/>
      <c r="E53" s="1821"/>
      <c r="F53" s="1821"/>
      <c r="G53" s="1821"/>
      <c r="H53" s="1821"/>
      <c r="I53" s="1821"/>
      <c r="J53" s="1821"/>
      <c r="K53" s="1821"/>
      <c r="L53" s="1821"/>
      <c r="M53" s="1821"/>
      <c r="N53" s="1821"/>
      <c r="O53" s="1821"/>
      <c r="P53" s="1821"/>
      <c r="Q53" s="1821"/>
      <c r="R53" s="1821"/>
      <c r="S53" s="1821"/>
      <c r="T53" s="1821"/>
      <c r="U53" s="1821"/>
      <c r="V53" s="1821"/>
      <c r="W53" s="1821"/>
      <c r="X53" s="1821"/>
      <c r="Y53" s="1821"/>
      <c r="Z53" s="1028"/>
      <c r="AA53" s="1028"/>
    </row>
  </sheetData>
  <mergeCells count="19">
    <mergeCell ref="B28:D28"/>
    <mergeCell ref="A41:Y53"/>
    <mergeCell ref="A1:Y1"/>
    <mergeCell ref="A2:Y2"/>
    <mergeCell ref="A4:A6"/>
    <mergeCell ref="B4:D4"/>
    <mergeCell ref="E4:G4"/>
    <mergeCell ref="H5:J5"/>
    <mergeCell ref="H4:J4"/>
    <mergeCell ref="K5:M5"/>
    <mergeCell ref="N5:P5"/>
    <mergeCell ref="K4:P4"/>
    <mergeCell ref="S4:U5"/>
    <mergeCell ref="V4:AA4"/>
    <mergeCell ref="V5:X5"/>
    <mergeCell ref="Y5:AA5"/>
    <mergeCell ref="Q4:R5"/>
    <mergeCell ref="H28:J28"/>
    <mergeCell ref="E28:G28"/>
  </mergeCells>
  <printOptions horizontalCentered="1"/>
  <pageMargins left="0.27559055118110237" right="0.19685039370078741" top="0.74803149606299213" bottom="0.74803149606299213" header="0.31496062992125984" footer="0.31496062992125984"/>
  <pageSetup paperSize="8" scale="67" firstPageNumber="35" orientation="landscape" r:id="rId1"/>
  <headerFooter>
    <oddHeader>&amp;R&amp;12 1.4. számú melléklet</oddHeader>
    <oddFooter>&amp;C&amp;12- &amp;P -&amp;10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30" workbookViewId="0">
      <selection activeCell="D2" sqref="D2:F4"/>
    </sheetView>
  </sheetViews>
  <sheetFormatPr defaultRowHeight="12.75"/>
  <cols>
    <col min="1" max="1" width="6.5" style="151" customWidth="1"/>
    <col min="2" max="2" width="9.6640625" style="152" customWidth="1"/>
    <col min="3" max="3" width="62.83203125" style="152" customWidth="1"/>
    <col min="4" max="4" width="20.5" style="152" customWidth="1"/>
    <col min="5" max="6" width="13.33203125" style="152" hidden="1" customWidth="1"/>
    <col min="7" max="7" width="9.5" style="152" hidden="1" customWidth="1"/>
    <col min="8" max="16384" width="9.33203125" style="152"/>
  </cols>
  <sheetData>
    <row r="1" spans="1:7" s="436" customFormat="1" ht="21" customHeight="1">
      <c r="A1" s="495"/>
      <c r="B1" s="496"/>
      <c r="C1" s="497"/>
      <c r="D1" s="1944" t="s">
        <v>819</v>
      </c>
      <c r="E1" s="1944"/>
      <c r="F1" s="1944"/>
      <c r="G1" s="1944"/>
    </row>
    <row r="2" spans="1:7" s="155" customFormat="1" ht="29.25" customHeight="1">
      <c r="A2" s="1948" t="s">
        <v>760</v>
      </c>
      <c r="B2" s="1948"/>
      <c r="C2" s="520" t="s">
        <v>817</v>
      </c>
      <c r="D2" s="1950" t="s">
        <v>1259</v>
      </c>
      <c r="E2" s="456"/>
      <c r="F2" s="456"/>
      <c r="G2" s="498"/>
    </row>
    <row r="3" spans="1:7" s="155" customFormat="1" ht="30" customHeight="1">
      <c r="A3" s="1949" t="s">
        <v>258</v>
      </c>
      <c r="B3" s="1949"/>
      <c r="C3" s="521" t="s">
        <v>820</v>
      </c>
      <c r="D3" s="1951"/>
      <c r="E3" s="437"/>
      <c r="F3" s="437"/>
      <c r="G3" s="499"/>
    </row>
    <row r="4" spans="1:7" s="159" customFormat="1" ht="15" customHeight="1">
      <c r="A4" s="457"/>
      <c r="B4" s="457"/>
      <c r="C4" s="457"/>
      <c r="D4" s="1953" t="s">
        <v>1260</v>
      </c>
      <c r="E4" s="1953"/>
      <c r="F4" s="1953"/>
      <c r="G4" s="458" t="s">
        <v>194</v>
      </c>
    </row>
    <row r="5" spans="1:7" ht="30.75" customHeight="1">
      <c r="A5" s="1946" t="s">
        <v>260</v>
      </c>
      <c r="B5" s="1946"/>
      <c r="C5" s="459" t="s">
        <v>261</v>
      </c>
      <c r="D5" s="460" t="s">
        <v>262</v>
      </c>
      <c r="E5" s="460" t="s">
        <v>263</v>
      </c>
      <c r="F5" s="460" t="s">
        <v>821</v>
      </c>
      <c r="G5" s="460" t="s">
        <v>2</v>
      </c>
    </row>
    <row r="6" spans="1:7" s="165" customFormat="1" ht="15" customHeight="1">
      <c r="A6" s="170">
        <v>1</v>
      </c>
      <c r="B6" s="461">
        <v>2</v>
      </c>
      <c r="C6" s="461">
        <v>3</v>
      </c>
      <c r="D6" s="462">
        <v>4</v>
      </c>
      <c r="E6" s="462">
        <v>5</v>
      </c>
      <c r="F6" s="462">
        <v>6</v>
      </c>
      <c r="G6" s="462">
        <v>7</v>
      </c>
    </row>
    <row r="7" spans="1:7" s="165" customFormat="1" ht="15" customHeight="1">
      <c r="A7" s="256"/>
      <c r="B7" s="257"/>
      <c r="C7" s="500" t="s">
        <v>196</v>
      </c>
      <c r="D7" s="258"/>
      <c r="E7" s="258"/>
      <c r="F7" s="258"/>
      <c r="G7" s="258"/>
    </row>
    <row r="8" spans="1:7" s="173" customFormat="1" ht="15" customHeight="1">
      <c r="A8" s="170" t="s">
        <v>4</v>
      </c>
      <c r="B8" s="171"/>
      <c r="C8" s="172" t="s">
        <v>762</v>
      </c>
      <c r="D8" s="242">
        <f>SUM(D9:D16)</f>
        <v>0</v>
      </c>
      <c r="E8" s="242">
        <f>SUM(E9:E16)</f>
        <v>0</v>
      </c>
      <c r="F8" s="242">
        <f>SUM(F9:F16)</f>
        <v>0</v>
      </c>
      <c r="G8" s="242"/>
    </row>
    <row r="9" spans="1:7" s="173" customFormat="1" ht="15" customHeight="1">
      <c r="A9" s="181"/>
      <c r="B9" s="175" t="s">
        <v>102</v>
      </c>
      <c r="C9" s="19" t="s">
        <v>22</v>
      </c>
      <c r="D9" s="245">
        <v>0</v>
      </c>
      <c r="E9" s="245">
        <v>0</v>
      </c>
      <c r="F9" s="245">
        <v>0</v>
      </c>
      <c r="G9" s="245"/>
    </row>
    <row r="10" spans="1:7" s="173" customFormat="1" ht="15" customHeight="1">
      <c r="A10" s="174"/>
      <c r="B10" s="175" t="s">
        <v>104</v>
      </c>
      <c r="C10" s="15" t="s">
        <v>24</v>
      </c>
      <c r="D10" s="243">
        <v>0</v>
      </c>
      <c r="E10" s="243">
        <v>0</v>
      </c>
      <c r="F10" s="243">
        <v>0</v>
      </c>
      <c r="G10" s="243"/>
    </row>
    <row r="11" spans="1:7" s="173" customFormat="1" ht="15" customHeight="1">
      <c r="A11" s="174"/>
      <c r="B11" s="175" t="s">
        <v>106</v>
      </c>
      <c r="C11" s="15" t="s">
        <v>26</v>
      </c>
      <c r="D11" s="243">
        <v>0</v>
      </c>
      <c r="E11" s="243">
        <v>0</v>
      </c>
      <c r="F11" s="243">
        <v>0</v>
      </c>
      <c r="G11" s="243"/>
    </row>
    <row r="12" spans="1:7" s="173" customFormat="1" ht="15" customHeight="1">
      <c r="A12" s="174"/>
      <c r="B12" s="175" t="s">
        <v>108</v>
      </c>
      <c r="C12" s="15" t="s">
        <v>28</v>
      </c>
      <c r="D12" s="243">
        <v>0</v>
      </c>
      <c r="E12" s="243">
        <v>0</v>
      </c>
      <c r="F12" s="243">
        <v>0</v>
      </c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>
        <v>0</v>
      </c>
      <c r="E13" s="243">
        <v>0</v>
      </c>
      <c r="F13" s="243">
        <v>0</v>
      </c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4">
        <v>0</v>
      </c>
      <c r="E14" s="244">
        <v>0</v>
      </c>
      <c r="F14" s="244">
        <v>0</v>
      </c>
      <c r="G14" s="244"/>
    </row>
    <row r="15" spans="1:7" s="177" customFormat="1" ht="15" customHeight="1">
      <c r="A15" s="174"/>
      <c r="B15" s="175" t="s">
        <v>437</v>
      </c>
      <c r="C15" s="15" t="s">
        <v>34</v>
      </c>
      <c r="D15" s="243">
        <v>0</v>
      </c>
      <c r="E15" s="243">
        <v>0</v>
      </c>
      <c r="F15" s="243">
        <v>0</v>
      </c>
      <c r="G15" s="243"/>
    </row>
    <row r="16" spans="1:7" s="177" customFormat="1" ht="15" customHeight="1">
      <c r="A16" s="183"/>
      <c r="B16" s="184" t="s">
        <v>439</v>
      </c>
      <c r="C16" s="22" t="s">
        <v>36</v>
      </c>
      <c r="D16" s="246">
        <v>0</v>
      </c>
      <c r="E16" s="246"/>
      <c r="F16" s="246"/>
      <c r="G16" s="246"/>
    </row>
    <row r="17" spans="1:9" s="173" customFormat="1" ht="15" customHeight="1">
      <c r="A17" s="170" t="s">
        <v>5</v>
      </c>
      <c r="B17" s="171"/>
      <c r="C17" s="172" t="s">
        <v>763</v>
      </c>
      <c r="D17" s="242">
        <f>SUM(D18:D21)</f>
        <v>0</v>
      </c>
      <c r="E17" s="242">
        <f>SUM(E18:E21)</f>
        <v>0</v>
      </c>
      <c r="F17" s="242">
        <f>SUM(F18:F21)</f>
        <v>0</v>
      </c>
      <c r="G17" s="242" t="e">
        <f>F17/E17*100</f>
        <v>#DIV/0!</v>
      </c>
    </row>
    <row r="18" spans="1:9" s="177" customFormat="1" ht="15" customHeight="1">
      <c r="A18" s="174"/>
      <c r="B18" s="175" t="s">
        <v>6</v>
      </c>
      <c r="C18" s="27" t="s">
        <v>764</v>
      </c>
      <c r="D18" s="243"/>
      <c r="E18" s="243"/>
      <c r="F18" s="243"/>
      <c r="G18" s="243" t="e">
        <f>F18/E18*100</f>
        <v>#DIV/0!</v>
      </c>
    </row>
    <row r="19" spans="1:9" s="177" customFormat="1" ht="15" customHeight="1">
      <c r="A19" s="174"/>
      <c r="B19" s="175" t="s">
        <v>8</v>
      </c>
      <c r="C19" s="15" t="s">
        <v>765</v>
      </c>
      <c r="D19" s="243"/>
      <c r="E19" s="243"/>
      <c r="F19" s="243"/>
      <c r="G19" s="243"/>
    </row>
    <row r="20" spans="1:9" s="177" customFormat="1" ht="15" customHeight="1">
      <c r="A20" s="174"/>
      <c r="B20" s="175" t="s">
        <v>10</v>
      </c>
      <c r="C20" s="15" t="s">
        <v>766</v>
      </c>
      <c r="D20" s="243"/>
      <c r="E20" s="243"/>
      <c r="F20" s="243"/>
      <c r="G20" s="243"/>
    </row>
    <row r="21" spans="1:9" s="177" customFormat="1" ht="15" customHeight="1">
      <c r="A21" s="174"/>
      <c r="B21" s="175" t="s">
        <v>12</v>
      </c>
      <c r="C21" s="15" t="s">
        <v>767</v>
      </c>
      <c r="D21" s="243"/>
      <c r="E21" s="243"/>
      <c r="F21" s="243"/>
      <c r="G21" s="243"/>
    </row>
    <row r="22" spans="1:9" s="177" customFormat="1" ht="15" customHeight="1">
      <c r="A22" s="170" t="s">
        <v>19</v>
      </c>
      <c r="B22" s="12"/>
      <c r="C22" s="12" t="s">
        <v>768</v>
      </c>
      <c r="D22" s="209">
        <v>0</v>
      </c>
      <c r="E22" s="209">
        <v>0</v>
      </c>
      <c r="F22" s="209">
        <v>0</v>
      </c>
      <c r="G22" s="209"/>
    </row>
    <row r="23" spans="1:9" s="173" customFormat="1" ht="15" customHeight="1">
      <c r="A23" s="170" t="s">
        <v>149</v>
      </c>
      <c r="B23" s="171"/>
      <c r="C23" s="12" t="s">
        <v>810</v>
      </c>
      <c r="D23" s="209">
        <v>0</v>
      </c>
      <c r="E23" s="209">
        <v>0</v>
      </c>
      <c r="F23" s="209">
        <v>0</v>
      </c>
      <c r="G23" s="209"/>
    </row>
    <row r="24" spans="1:9" s="173" customFormat="1" ht="15" customHeight="1">
      <c r="A24" s="170" t="s">
        <v>38</v>
      </c>
      <c r="B24" s="198"/>
      <c r="C24" s="12" t="s">
        <v>811</v>
      </c>
      <c r="D24" s="254">
        <f>+D25+D26</f>
        <v>0</v>
      </c>
      <c r="E24" s="254">
        <f>+E25+E26</f>
        <v>0</v>
      </c>
      <c r="F24" s="254">
        <f>+F25+F26</f>
        <v>0</v>
      </c>
      <c r="G24" s="254"/>
    </row>
    <row r="25" spans="1:9" s="173" customFormat="1" ht="15" customHeight="1">
      <c r="A25" s="181"/>
      <c r="B25" s="188" t="s">
        <v>39</v>
      </c>
      <c r="C25" s="19" t="s">
        <v>772</v>
      </c>
      <c r="D25" s="255">
        <v>0</v>
      </c>
      <c r="E25" s="255">
        <v>0</v>
      </c>
      <c r="F25" s="255">
        <v>0</v>
      </c>
      <c r="G25" s="255"/>
    </row>
    <row r="26" spans="1:9" s="173" customFormat="1" ht="15" customHeight="1">
      <c r="A26" s="191"/>
      <c r="B26" s="192" t="s">
        <v>40</v>
      </c>
      <c r="C26" s="24" t="s">
        <v>773</v>
      </c>
      <c r="D26" s="249">
        <v>0</v>
      </c>
      <c r="E26" s="249">
        <v>0</v>
      </c>
      <c r="F26" s="249">
        <v>0</v>
      </c>
      <c r="G26" s="249"/>
    </row>
    <row r="27" spans="1:9" s="177" customFormat="1" ht="15" customHeight="1">
      <c r="A27" s="201" t="s">
        <v>48</v>
      </c>
      <c r="B27" s="202"/>
      <c r="C27" s="12" t="s">
        <v>812</v>
      </c>
      <c r="D27" s="209"/>
      <c r="E27" s="209"/>
      <c r="F27" s="209"/>
      <c r="G27" s="209" t="e">
        <f>F27/E27*100</f>
        <v>#DIV/0!</v>
      </c>
    </row>
    <row r="28" spans="1:9" s="177" customFormat="1" ht="15" customHeight="1">
      <c r="A28" s="201"/>
      <c r="B28" s="202"/>
      <c r="C28" s="12" t="s">
        <v>813</v>
      </c>
      <c r="D28" s="209"/>
      <c r="E28" s="209"/>
      <c r="F28" s="209"/>
      <c r="G28" s="209"/>
    </row>
    <row r="29" spans="1:9" s="177" customFormat="1" ht="15" customHeight="1">
      <c r="A29" s="256" t="s">
        <v>178</v>
      </c>
      <c r="B29" s="257"/>
      <c r="C29" s="467" t="s">
        <v>814</v>
      </c>
      <c r="D29" s="258">
        <f>SUM(D8,D17,D22,D23,D24,D27)</f>
        <v>0</v>
      </c>
      <c r="E29" s="258">
        <f>SUM(E8,E17,E22,E23,E24,E27,E28)</f>
        <v>0</v>
      </c>
      <c r="F29" s="258">
        <f>SUM(F8,F17,F22,F23,F24,F27,F28)</f>
        <v>0</v>
      </c>
      <c r="G29" s="258" t="e">
        <f>F29/E29*100</f>
        <v>#DIV/0!</v>
      </c>
      <c r="I29" s="190"/>
    </row>
    <row r="30" spans="1:9" s="177" customFormat="1" ht="15" customHeight="1">
      <c r="A30" s="449"/>
      <c r="B30" s="449"/>
      <c r="C30" s="468"/>
      <c r="D30" s="261"/>
      <c r="E30" s="261"/>
      <c r="F30" s="261"/>
      <c r="G30" s="261"/>
    </row>
    <row r="31" spans="1:9" s="165" customFormat="1" ht="15" customHeight="1">
      <c r="A31" s="256"/>
      <c r="B31" s="257"/>
      <c r="C31" s="500" t="s">
        <v>197</v>
      </c>
      <c r="D31" s="258"/>
      <c r="E31" s="258"/>
      <c r="F31" s="258"/>
      <c r="G31" s="258"/>
    </row>
    <row r="32" spans="1:9" s="221" customFormat="1" ht="15" customHeight="1">
      <c r="A32" s="170" t="s">
        <v>4</v>
      </c>
      <c r="B32" s="12"/>
      <c r="C32" s="67" t="s">
        <v>101</v>
      </c>
      <c r="D32" s="242">
        <f>SUM(D33:D37)</f>
        <v>0</v>
      </c>
      <c r="E32" s="242">
        <f>SUM(E33:E37)</f>
        <v>0</v>
      </c>
      <c r="F32" s="242">
        <f>SUM(F33:F37)</f>
        <v>0</v>
      </c>
      <c r="G32" s="242" t="e">
        <f>F32/E32*100</f>
        <v>#DIV/0!</v>
      </c>
    </row>
    <row r="33" spans="1:7" ht="15" customHeight="1">
      <c r="A33" s="193"/>
      <c r="B33" s="220" t="s">
        <v>102</v>
      </c>
      <c r="C33" s="27" t="s">
        <v>103</v>
      </c>
      <c r="D33" s="250"/>
      <c r="E33" s="250"/>
      <c r="F33" s="250"/>
      <c r="G33" s="250" t="e">
        <f>F33/E33*100</f>
        <v>#DIV/0!</v>
      </c>
    </row>
    <row r="34" spans="1:7" ht="15" customHeight="1">
      <c r="A34" s="174"/>
      <c r="B34" s="189" t="s">
        <v>104</v>
      </c>
      <c r="C34" s="15" t="s">
        <v>105</v>
      </c>
      <c r="D34" s="243"/>
      <c r="E34" s="243"/>
      <c r="F34" s="243"/>
      <c r="G34" s="243" t="e">
        <f>F34/E34*100</f>
        <v>#DIV/0!</v>
      </c>
    </row>
    <row r="35" spans="1:7" ht="15" customHeight="1">
      <c r="A35" s="174"/>
      <c r="B35" s="189" t="s">
        <v>106</v>
      </c>
      <c r="C35" s="15" t="s">
        <v>107</v>
      </c>
      <c r="D35" s="243"/>
      <c r="E35" s="243"/>
      <c r="F35" s="243"/>
      <c r="G35" s="243" t="e">
        <f>F35/E35*100</f>
        <v>#DIV/0!</v>
      </c>
    </row>
    <row r="36" spans="1:7" ht="15" customHeight="1">
      <c r="A36" s="174"/>
      <c r="B36" s="189" t="s">
        <v>108</v>
      </c>
      <c r="C36" s="15" t="s">
        <v>109</v>
      </c>
      <c r="D36" s="243">
        <v>0</v>
      </c>
      <c r="E36" s="243">
        <v>0</v>
      </c>
      <c r="F36" s="243">
        <v>0</v>
      </c>
      <c r="G36" s="243"/>
    </row>
    <row r="37" spans="1:7" ht="15" customHeight="1">
      <c r="A37" s="174"/>
      <c r="B37" s="189" t="s">
        <v>110</v>
      </c>
      <c r="C37" s="15" t="s">
        <v>111</v>
      </c>
      <c r="D37" s="243">
        <v>0</v>
      </c>
      <c r="E37" s="243">
        <v>0</v>
      </c>
      <c r="F37" s="243">
        <v>0</v>
      </c>
      <c r="G37" s="243"/>
    </row>
    <row r="38" spans="1:7" ht="15" customHeight="1">
      <c r="A38" s="170" t="s">
        <v>5</v>
      </c>
      <c r="B38" s="12"/>
      <c r="C38" s="67" t="s">
        <v>787</v>
      </c>
      <c r="D38" s="242">
        <f>SUM(D39:D42)</f>
        <v>0</v>
      </c>
      <c r="E38" s="242">
        <f>SUM(E39:E42)</f>
        <v>0</v>
      </c>
      <c r="F38" s="242">
        <f>SUM(F39:F42)</f>
        <v>0</v>
      </c>
      <c r="G38" s="242" t="e">
        <f>F38/E38*100</f>
        <v>#DIV/0!</v>
      </c>
    </row>
    <row r="39" spans="1:7" s="221" customFormat="1" ht="15" customHeight="1">
      <c r="A39" s="193"/>
      <c r="B39" s="220" t="s">
        <v>6</v>
      </c>
      <c r="C39" s="27" t="s">
        <v>780</v>
      </c>
      <c r="D39" s="250">
        <v>0</v>
      </c>
      <c r="E39" s="250"/>
      <c r="F39" s="250"/>
      <c r="G39" s="250" t="e">
        <f>F39/E39*100</f>
        <v>#DIV/0!</v>
      </c>
    </row>
    <row r="40" spans="1:7" ht="15" customHeight="1">
      <c r="A40" s="174"/>
      <c r="B40" s="189" t="s">
        <v>8</v>
      </c>
      <c r="C40" s="15" t="s">
        <v>134</v>
      </c>
      <c r="D40" s="243">
        <v>0</v>
      </c>
      <c r="E40" s="243">
        <v>0</v>
      </c>
      <c r="F40" s="243">
        <v>0</v>
      </c>
      <c r="G40" s="243"/>
    </row>
    <row r="41" spans="1:7" ht="30" customHeight="1">
      <c r="A41" s="174"/>
      <c r="B41" s="189" t="s">
        <v>14</v>
      </c>
      <c r="C41" s="15" t="s">
        <v>137</v>
      </c>
      <c r="D41" s="243">
        <v>0</v>
      </c>
      <c r="E41" s="243">
        <v>0</v>
      </c>
      <c r="F41" s="243">
        <v>0</v>
      </c>
      <c r="G41" s="243"/>
    </row>
    <row r="42" spans="1:7" ht="15" customHeight="1">
      <c r="A42" s="174"/>
      <c r="B42" s="189" t="s">
        <v>18</v>
      </c>
      <c r="C42" s="15" t="s">
        <v>781</v>
      </c>
      <c r="D42" s="243">
        <v>0</v>
      </c>
      <c r="E42" s="243">
        <v>0</v>
      </c>
      <c r="F42" s="243">
        <v>0</v>
      </c>
      <c r="G42" s="243"/>
    </row>
    <row r="43" spans="1:7" ht="15" customHeight="1">
      <c r="A43" s="170" t="s">
        <v>19</v>
      </c>
      <c r="B43" s="12"/>
      <c r="C43" s="67" t="s">
        <v>782</v>
      </c>
      <c r="D43" s="209">
        <v>0</v>
      </c>
      <c r="E43" s="209">
        <v>0</v>
      </c>
      <c r="F43" s="209">
        <v>0</v>
      </c>
      <c r="G43" s="209"/>
    </row>
    <row r="44" spans="1:7" s="177" customFormat="1" ht="15" customHeight="1">
      <c r="A44" s="170"/>
      <c r="B44" s="12"/>
      <c r="C44" s="67" t="s">
        <v>783</v>
      </c>
      <c r="D44" s="209"/>
      <c r="E44" s="209"/>
      <c r="F44" s="209"/>
      <c r="G44" s="209"/>
    </row>
    <row r="45" spans="1:7" ht="15" customHeight="1">
      <c r="A45" s="256" t="s">
        <v>149</v>
      </c>
      <c r="B45" s="257"/>
      <c r="C45" s="467" t="s">
        <v>784</v>
      </c>
      <c r="D45" s="258">
        <f>+D32+D38+D43</f>
        <v>0</v>
      </c>
      <c r="E45" s="258">
        <f>+E32+E38+E43+E44</f>
        <v>0</v>
      </c>
      <c r="F45" s="258">
        <f>+F32+F38+F43+F44</f>
        <v>0</v>
      </c>
      <c r="G45" s="258" t="e">
        <f>F45/E45*100</f>
        <v>#DIV/0!</v>
      </c>
    </row>
    <row r="46" spans="1:7" ht="15" customHeight="1">
      <c r="A46" s="230"/>
      <c r="B46" s="231"/>
      <c r="C46" s="231"/>
      <c r="D46" s="231"/>
      <c r="E46" s="231"/>
      <c r="F46" s="231"/>
      <c r="G46" s="231"/>
    </row>
    <row r="47" spans="1:7" ht="15" customHeight="1">
      <c r="A47" s="232" t="s">
        <v>289</v>
      </c>
      <c r="B47" s="233"/>
      <c r="C47" s="234"/>
      <c r="D47" s="469"/>
      <c r="E47" s="469"/>
      <c r="F47" s="469"/>
      <c r="G47" s="469"/>
    </row>
    <row r="48" spans="1:7" ht="15" customHeight="1">
      <c r="A48" s="232" t="s">
        <v>290</v>
      </c>
      <c r="B48" s="233"/>
      <c r="C48" s="234"/>
      <c r="D48" s="469"/>
      <c r="E48" s="469"/>
      <c r="F48" s="469"/>
      <c r="G48" s="469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78740157480314965" right="0.78740157480314965" top="0.47244094488188981" bottom="0.43307086614173229" header="0.51181102362204722" footer="0.15748031496062992"/>
  <pageSetup paperSize="9" scale="74" firstPageNumber="43" orientation="portrait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view="pageBreakPreview" topLeftCell="A16" zoomScaleNormal="130" workbookViewId="0">
      <selection activeCell="D39" sqref="D39"/>
    </sheetView>
  </sheetViews>
  <sheetFormatPr defaultRowHeight="12.75"/>
  <cols>
    <col min="1" max="1" width="6.83203125" style="151" customWidth="1"/>
    <col min="2" max="2" width="9.6640625" style="152" customWidth="1"/>
    <col min="3" max="3" width="61.5" style="152" customWidth="1"/>
    <col min="4" max="4" width="19.1640625" style="152" customWidth="1"/>
    <col min="5" max="6" width="15.83203125" style="152" hidden="1" customWidth="1"/>
    <col min="7" max="7" width="9" style="152" hidden="1" customWidth="1"/>
    <col min="8" max="11" width="0" style="152" hidden="1" customWidth="1"/>
    <col min="12" max="16384" width="9.33203125" style="152"/>
  </cols>
  <sheetData>
    <row r="1" spans="1:7" s="436" customFormat="1" ht="15.75" customHeight="1">
      <c r="A1" s="433"/>
      <c r="B1" s="434"/>
      <c r="C1" s="435"/>
      <c r="D1" s="1944" t="s">
        <v>822</v>
      </c>
      <c r="E1" s="1944"/>
      <c r="F1" s="1944"/>
      <c r="G1" s="1944"/>
    </row>
    <row r="2" spans="1:7" s="155" customFormat="1" ht="30.75" customHeight="1">
      <c r="A2" s="1901" t="s">
        <v>760</v>
      </c>
      <c r="B2" s="1901"/>
      <c r="C2" s="522" t="s">
        <v>823</v>
      </c>
      <c r="D2" s="1950" t="s">
        <v>1259</v>
      </c>
      <c r="E2" s="456"/>
      <c r="F2" s="456"/>
      <c r="G2" s="456"/>
    </row>
    <row r="3" spans="1:7" s="155" customFormat="1" ht="30" customHeight="1">
      <c r="A3" s="1901" t="s">
        <v>258</v>
      </c>
      <c r="B3" s="1901"/>
      <c r="C3" s="156" t="s">
        <v>818</v>
      </c>
      <c r="D3" s="1951"/>
      <c r="E3" s="437"/>
      <c r="F3" s="437"/>
      <c r="G3" s="437"/>
    </row>
    <row r="4" spans="1:7" s="159" customFormat="1" ht="15" customHeight="1">
      <c r="A4" s="157"/>
      <c r="B4" s="157"/>
      <c r="C4" s="157"/>
      <c r="D4" s="1953" t="s">
        <v>1260</v>
      </c>
      <c r="E4" s="1953"/>
      <c r="F4" s="1953"/>
      <c r="G4" s="158" t="s">
        <v>194</v>
      </c>
    </row>
    <row r="5" spans="1:7" ht="33.75" customHeigh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7" s="165" customFormat="1" ht="13.5" customHeight="1">
      <c r="A6" s="160">
        <v>1</v>
      </c>
      <c r="B6" s="163">
        <v>2</v>
      </c>
      <c r="C6" s="163">
        <v>3</v>
      </c>
      <c r="D6" s="164">
        <v>4</v>
      </c>
      <c r="E6" s="164">
        <v>5</v>
      </c>
      <c r="F6" s="164">
        <v>6</v>
      </c>
      <c r="G6" s="164">
        <v>7</v>
      </c>
    </row>
    <row r="7" spans="1:7" s="165" customFormat="1" ht="15" customHeight="1">
      <c r="A7" s="256"/>
      <c r="B7" s="257"/>
      <c r="C7" s="500" t="s">
        <v>196</v>
      </c>
      <c r="D7" s="258"/>
      <c r="E7" s="258"/>
      <c r="F7" s="258"/>
      <c r="G7" s="258"/>
    </row>
    <row r="8" spans="1:7" s="173" customFormat="1" ht="15" customHeight="1">
      <c r="A8" s="170" t="s">
        <v>4</v>
      </c>
      <c r="B8" s="171"/>
      <c r="C8" s="172" t="s">
        <v>762</v>
      </c>
      <c r="D8" s="242">
        <f>SUM(D9:D16)</f>
        <v>0</v>
      </c>
      <c r="E8" s="242">
        <f>SUM(E9:E16)</f>
        <v>0</v>
      </c>
      <c r="F8" s="242">
        <f>SUM(F9:F16)</f>
        <v>0</v>
      </c>
      <c r="G8" s="242" t="e">
        <f>F8/E8*100</f>
        <v>#DIV/0!</v>
      </c>
    </row>
    <row r="9" spans="1:7" s="173" customFormat="1" ht="15" customHeight="1">
      <c r="A9" s="181"/>
      <c r="B9" s="175" t="s">
        <v>102</v>
      </c>
      <c r="C9" s="19" t="s">
        <v>22</v>
      </c>
      <c r="D9" s="245">
        <v>0</v>
      </c>
      <c r="E9" s="245">
        <v>0</v>
      </c>
      <c r="F9" s="245">
        <v>0</v>
      </c>
      <c r="G9" s="245"/>
    </row>
    <row r="10" spans="1:7" s="173" customFormat="1" ht="15" customHeight="1">
      <c r="A10" s="174"/>
      <c r="B10" s="175" t="s">
        <v>104</v>
      </c>
      <c r="C10" s="15" t="s">
        <v>24</v>
      </c>
      <c r="D10" s="243">
        <v>0</v>
      </c>
      <c r="E10" s="243">
        <v>0</v>
      </c>
      <c r="F10" s="243">
        <v>0</v>
      </c>
      <c r="G10" s="243"/>
    </row>
    <row r="11" spans="1:7" s="173" customFormat="1" ht="15" customHeight="1">
      <c r="A11" s="174"/>
      <c r="B11" s="175" t="s">
        <v>106</v>
      </c>
      <c r="C11" s="15" t="s">
        <v>26</v>
      </c>
      <c r="D11" s="243"/>
      <c r="E11" s="243"/>
      <c r="F11" s="243"/>
      <c r="G11" s="243" t="e">
        <f>F11/E11*100</f>
        <v>#DIV/0!</v>
      </c>
    </row>
    <row r="12" spans="1:7" s="173" customFormat="1" ht="15" customHeight="1">
      <c r="A12" s="174"/>
      <c r="B12" s="175" t="s">
        <v>108</v>
      </c>
      <c r="C12" s="15" t="s">
        <v>28</v>
      </c>
      <c r="D12" s="243"/>
      <c r="E12" s="243"/>
      <c r="F12" s="243"/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/>
      <c r="E13" s="243"/>
      <c r="F13" s="243"/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4"/>
      <c r="E14" s="244"/>
      <c r="F14" s="244"/>
      <c r="G14" s="244"/>
    </row>
    <row r="15" spans="1:7" s="177" customFormat="1" ht="15" customHeight="1">
      <c r="A15" s="174"/>
      <c r="B15" s="175" t="s">
        <v>437</v>
      </c>
      <c r="C15" s="15" t="s">
        <v>34</v>
      </c>
      <c r="D15" s="243"/>
      <c r="E15" s="243"/>
      <c r="F15" s="243"/>
      <c r="G15" s="243"/>
    </row>
    <row r="16" spans="1:7" s="177" customFormat="1" ht="15" customHeight="1">
      <c r="A16" s="183"/>
      <c r="B16" s="184" t="s">
        <v>439</v>
      </c>
      <c r="C16" s="22" t="s">
        <v>36</v>
      </c>
      <c r="D16" s="246">
        <v>0</v>
      </c>
      <c r="E16" s="246">
        <v>0</v>
      </c>
      <c r="F16" s="246"/>
      <c r="G16" s="246"/>
    </row>
    <row r="17" spans="1:13" s="173" customFormat="1" ht="15" customHeight="1">
      <c r="A17" s="170" t="s">
        <v>5</v>
      </c>
      <c r="B17" s="171"/>
      <c r="C17" s="172" t="s">
        <v>763</v>
      </c>
      <c r="D17" s="242">
        <f>SUM(D18:D23)-D19</f>
        <v>0</v>
      </c>
      <c r="E17" s="242">
        <f>SUM(E18:E23)-E19</f>
        <v>0</v>
      </c>
      <c r="F17" s="242">
        <f>SUM(F18:F23)-F19</f>
        <v>0</v>
      </c>
      <c r="G17" s="242" t="e">
        <f>F17/E17*100</f>
        <v>#DIV/0!</v>
      </c>
    </row>
    <row r="18" spans="1:13" s="177" customFormat="1" ht="15" customHeight="1">
      <c r="A18" s="174"/>
      <c r="B18" s="175" t="s">
        <v>6</v>
      </c>
      <c r="C18" s="27" t="s">
        <v>764</v>
      </c>
      <c r="D18" s="243"/>
      <c r="E18" s="243"/>
      <c r="F18" s="243"/>
      <c r="G18" s="243" t="e">
        <f>F18/E18*100</f>
        <v>#DIV/0!</v>
      </c>
      <c r="L18" s="190"/>
      <c r="M18" s="190"/>
    </row>
    <row r="19" spans="1:13" s="177" customFormat="1" ht="15" customHeight="1">
      <c r="A19" s="174"/>
      <c r="B19" s="175"/>
      <c r="C19" s="513" t="s">
        <v>805</v>
      </c>
      <c r="D19" s="243"/>
      <c r="E19" s="243"/>
      <c r="F19" s="243"/>
      <c r="G19" s="243" t="e">
        <f>F19/E19*100</f>
        <v>#DIV/0!</v>
      </c>
    </row>
    <row r="20" spans="1:13" s="177" customFormat="1" ht="15" customHeight="1">
      <c r="A20" s="174"/>
      <c r="B20" s="175" t="s">
        <v>6</v>
      </c>
      <c r="C20" s="27" t="s">
        <v>1213</v>
      </c>
      <c r="D20" s="243"/>
      <c r="E20" s="243"/>
      <c r="F20" s="243"/>
      <c r="G20" s="243" t="e">
        <f>F20/E20*100</f>
        <v>#DIV/0!</v>
      </c>
      <c r="H20" s="518">
        <f>E20+'..'!E20</f>
        <v>0</v>
      </c>
      <c r="I20" s="518">
        <f>F20+'..'!F20</f>
        <v>0</v>
      </c>
      <c r="J20" s="190">
        <f>H20+H31</f>
        <v>0</v>
      </c>
      <c r="K20" s="190">
        <f>I20+I31</f>
        <v>0</v>
      </c>
    </row>
    <row r="21" spans="1:13" s="177" customFormat="1" ht="15" customHeight="1">
      <c r="A21" s="174"/>
      <c r="B21" s="175" t="s">
        <v>8</v>
      </c>
      <c r="C21" s="15" t="s">
        <v>765</v>
      </c>
      <c r="D21" s="243">
        <v>0</v>
      </c>
      <c r="E21" s="243">
        <v>0</v>
      </c>
      <c r="F21" s="243">
        <v>0</v>
      </c>
      <c r="G21" s="243"/>
    </row>
    <row r="22" spans="1:13" s="177" customFormat="1" ht="15" customHeight="1">
      <c r="A22" s="174"/>
      <c r="B22" s="175" t="s">
        <v>10</v>
      </c>
      <c r="C22" s="15" t="s">
        <v>766</v>
      </c>
      <c r="D22" s="243">
        <v>0</v>
      </c>
      <c r="E22" s="243">
        <v>0</v>
      </c>
      <c r="F22" s="243">
        <v>0</v>
      </c>
      <c r="G22" s="243"/>
    </row>
    <row r="23" spans="1:13" s="177" customFormat="1" ht="15" customHeight="1">
      <c r="A23" s="174"/>
      <c r="B23" s="175" t="s">
        <v>12</v>
      </c>
      <c r="C23" s="15" t="s">
        <v>767</v>
      </c>
      <c r="D23" s="243">
        <v>0</v>
      </c>
      <c r="E23" s="243"/>
      <c r="F23" s="243"/>
      <c r="G23" s="243" t="e">
        <f>F23/E23*100</f>
        <v>#DIV/0!</v>
      </c>
    </row>
    <row r="24" spans="1:13" s="177" customFormat="1" ht="15" customHeight="1">
      <c r="A24" s="170" t="s">
        <v>19</v>
      </c>
      <c r="B24" s="12"/>
      <c r="C24" s="12" t="s">
        <v>768</v>
      </c>
      <c r="D24" s="209">
        <v>0</v>
      </c>
      <c r="E24" s="209">
        <v>0</v>
      </c>
      <c r="F24" s="209">
        <v>0</v>
      </c>
      <c r="G24" s="209"/>
    </row>
    <row r="25" spans="1:13" s="173" customFormat="1" ht="15" customHeight="1">
      <c r="A25" s="170" t="s">
        <v>149</v>
      </c>
      <c r="B25" s="171"/>
      <c r="C25" s="12" t="s">
        <v>810</v>
      </c>
      <c r="D25" s="209">
        <v>0</v>
      </c>
      <c r="E25" s="209">
        <v>0</v>
      </c>
      <c r="F25" s="209">
        <v>0</v>
      </c>
      <c r="G25" s="209"/>
    </row>
    <row r="26" spans="1:13" s="173" customFormat="1" ht="15" customHeight="1">
      <c r="A26" s="170" t="s">
        <v>38</v>
      </c>
      <c r="B26" s="198"/>
      <c r="C26" s="12" t="s">
        <v>811</v>
      </c>
      <c r="D26" s="254">
        <f>+D27+D28</f>
        <v>0</v>
      </c>
      <c r="E26" s="254">
        <f>+E27+E28</f>
        <v>0</v>
      </c>
      <c r="F26" s="254">
        <f>+F27+F28</f>
        <v>0</v>
      </c>
      <c r="G26" s="254"/>
    </row>
    <row r="27" spans="1:13" s="173" customFormat="1" ht="15" customHeight="1">
      <c r="A27" s="181"/>
      <c r="B27" s="188" t="s">
        <v>39</v>
      </c>
      <c r="C27" s="19" t="s">
        <v>772</v>
      </c>
      <c r="D27" s="255">
        <v>0</v>
      </c>
      <c r="E27" s="255">
        <v>0</v>
      </c>
      <c r="F27" s="255">
        <v>0</v>
      </c>
      <c r="G27" s="255"/>
    </row>
    <row r="28" spans="1:13" s="173" customFormat="1" ht="15" customHeight="1">
      <c r="A28" s="191"/>
      <c r="B28" s="192" t="s">
        <v>40</v>
      </c>
      <c r="C28" s="24" t="s">
        <v>773</v>
      </c>
      <c r="D28" s="249">
        <v>0</v>
      </c>
      <c r="E28" s="249">
        <v>0</v>
      </c>
      <c r="F28" s="249">
        <v>0</v>
      </c>
      <c r="G28" s="249"/>
    </row>
    <row r="29" spans="1:13" s="177" customFormat="1" ht="15" customHeight="1">
      <c r="A29" s="201" t="s">
        <v>48</v>
      </c>
      <c r="B29" s="202"/>
      <c r="C29" s="12" t="s">
        <v>812</v>
      </c>
      <c r="D29" s="209"/>
      <c r="E29" s="209"/>
      <c r="F29" s="209"/>
      <c r="G29" s="209" t="e">
        <f>F29/E29*100</f>
        <v>#DIV/0!</v>
      </c>
      <c r="M29" s="190">
        <f>SUM(D34-D31)</f>
        <v>0</v>
      </c>
    </row>
    <row r="30" spans="1:13" s="177" customFormat="1" ht="15" customHeight="1">
      <c r="A30" s="201"/>
      <c r="B30" s="202"/>
      <c r="C30" s="12" t="s">
        <v>813</v>
      </c>
      <c r="D30" s="209"/>
      <c r="E30" s="209"/>
      <c r="F30" s="209"/>
      <c r="G30" s="209"/>
    </row>
    <row r="31" spans="1:13" s="177" customFormat="1" ht="15" customHeight="1">
      <c r="A31" s="256" t="s">
        <v>178</v>
      </c>
      <c r="B31" s="257"/>
      <c r="C31" s="467" t="s">
        <v>814</v>
      </c>
      <c r="D31" s="258">
        <f>SUM(D8,D17,D24,D25,D26,D29)</f>
        <v>0</v>
      </c>
      <c r="E31" s="258">
        <f>SUM(E8,E17,E24,E25,E26,E29,E30)</f>
        <v>0</v>
      </c>
      <c r="F31" s="258">
        <f>SUM(F8,F17,F24,F25,F26,F29,F30)</f>
        <v>0</v>
      </c>
      <c r="G31" s="258" t="e">
        <f>F31/E31*100</f>
        <v>#DIV/0!</v>
      </c>
      <c r="I31" s="190">
        <f>SUM(D50-D31)</f>
        <v>0</v>
      </c>
    </row>
    <row r="32" spans="1:13" ht="7.5" customHeight="1">
      <c r="A32" s="230"/>
      <c r="B32" s="231"/>
      <c r="C32" s="231"/>
      <c r="D32" s="503"/>
      <c r="E32" s="503"/>
      <c r="F32" s="503"/>
      <c r="G32" s="503"/>
    </row>
    <row r="33" spans="1:7" s="165" customFormat="1" ht="15" customHeight="1">
      <c r="A33" s="256"/>
      <c r="B33" s="257"/>
      <c r="C33" s="500" t="s">
        <v>197</v>
      </c>
      <c r="D33" s="258"/>
      <c r="E33" s="258"/>
      <c r="F33" s="258"/>
      <c r="G33" s="258"/>
    </row>
    <row r="34" spans="1:7" s="221" customFormat="1" ht="15" customHeight="1">
      <c r="A34" s="170" t="s">
        <v>4</v>
      </c>
      <c r="B34" s="12"/>
      <c r="C34" s="67" t="s">
        <v>101</v>
      </c>
      <c r="D34" s="242">
        <f>SUM(D35+D37+D39)</f>
        <v>0</v>
      </c>
      <c r="E34" s="242">
        <f>SUM(E35+E37+E39)</f>
        <v>0</v>
      </c>
      <c r="F34" s="242">
        <f>SUM(F35+F37+F39)</f>
        <v>0</v>
      </c>
      <c r="G34" s="242" t="e">
        <f t="shared" ref="G34:G40" si="0">F34/E34*100</f>
        <v>#DIV/0!</v>
      </c>
    </row>
    <row r="35" spans="1:7" ht="15" customHeight="1">
      <c r="A35" s="193"/>
      <c r="B35" s="220" t="s">
        <v>102</v>
      </c>
      <c r="C35" s="27" t="s">
        <v>103</v>
      </c>
      <c r="D35" s="250"/>
      <c r="E35" s="250"/>
      <c r="F35" s="250"/>
      <c r="G35" s="250" t="e">
        <f t="shared" si="0"/>
        <v>#DIV/0!</v>
      </c>
    </row>
    <row r="36" spans="1:7" ht="15" customHeight="1">
      <c r="A36" s="193"/>
      <c r="B36" s="220"/>
      <c r="C36" s="513" t="s">
        <v>805</v>
      </c>
      <c r="D36" s="519"/>
      <c r="E36" s="519"/>
      <c r="F36" s="519"/>
      <c r="G36" s="519" t="e">
        <f t="shared" si="0"/>
        <v>#DIV/0!</v>
      </c>
    </row>
    <row r="37" spans="1:7" ht="15" customHeight="1">
      <c r="A37" s="174"/>
      <c r="B37" s="189" t="s">
        <v>104</v>
      </c>
      <c r="C37" s="15" t="s">
        <v>105</v>
      </c>
      <c r="D37" s="243"/>
      <c r="E37" s="243"/>
      <c r="F37" s="243"/>
      <c r="G37" s="243" t="e">
        <f t="shared" si="0"/>
        <v>#DIV/0!</v>
      </c>
    </row>
    <row r="38" spans="1:7" ht="15" customHeight="1">
      <c r="A38" s="174"/>
      <c r="B38" s="189"/>
      <c r="C38" s="513" t="s">
        <v>805</v>
      </c>
      <c r="D38" s="519"/>
      <c r="E38" s="519"/>
      <c r="F38" s="519"/>
      <c r="G38" s="519" t="e">
        <f t="shared" si="0"/>
        <v>#DIV/0!</v>
      </c>
    </row>
    <row r="39" spans="1:7" ht="15" customHeight="1">
      <c r="A39" s="174"/>
      <c r="B39" s="189" t="s">
        <v>106</v>
      </c>
      <c r="C39" s="15" t="s">
        <v>107</v>
      </c>
      <c r="D39" s="243"/>
      <c r="E39" s="243"/>
      <c r="F39" s="243"/>
      <c r="G39" s="243" t="e">
        <f t="shared" si="0"/>
        <v>#DIV/0!</v>
      </c>
    </row>
    <row r="40" spans="1:7" ht="15" customHeight="1">
      <c r="A40" s="174"/>
      <c r="B40" s="189"/>
      <c r="C40" s="513" t="s">
        <v>805</v>
      </c>
      <c r="D40" s="519"/>
      <c r="E40" s="519"/>
      <c r="F40" s="519"/>
      <c r="G40" s="519" t="e">
        <f t="shared" si="0"/>
        <v>#DIV/0!</v>
      </c>
    </row>
    <row r="41" spans="1:7" ht="15" customHeight="1">
      <c r="A41" s="174"/>
      <c r="B41" s="189" t="s">
        <v>108</v>
      </c>
      <c r="C41" s="15" t="s">
        <v>109</v>
      </c>
      <c r="D41" s="243">
        <v>0</v>
      </c>
      <c r="E41" s="243">
        <v>0</v>
      </c>
      <c r="F41" s="243">
        <v>0</v>
      </c>
      <c r="G41" s="243"/>
    </row>
    <row r="42" spans="1:7" ht="15" customHeight="1">
      <c r="A42" s="174"/>
      <c r="B42" s="189" t="s">
        <v>110</v>
      </c>
      <c r="C42" s="15" t="s">
        <v>111</v>
      </c>
      <c r="D42" s="243">
        <v>0</v>
      </c>
      <c r="E42" s="243">
        <v>0</v>
      </c>
      <c r="F42" s="243">
        <v>0</v>
      </c>
      <c r="G42" s="243"/>
    </row>
    <row r="43" spans="1:7" ht="15" customHeight="1">
      <c r="A43" s="170" t="s">
        <v>5</v>
      </c>
      <c r="B43" s="12"/>
      <c r="C43" s="67" t="s">
        <v>787</v>
      </c>
      <c r="D43" s="242">
        <f>SUM(D44:D47)</f>
        <v>0</v>
      </c>
      <c r="E43" s="242">
        <f>SUM(E44:E47)</f>
        <v>0</v>
      </c>
      <c r="F43" s="242">
        <f>SUM(F44:F47)</f>
        <v>0</v>
      </c>
      <c r="G43" s="242" t="e">
        <f>F43/E43*100</f>
        <v>#DIV/0!</v>
      </c>
    </row>
    <row r="44" spans="1:7" s="221" customFormat="1" ht="15" customHeight="1">
      <c r="A44" s="193"/>
      <c r="B44" s="220" t="s">
        <v>6</v>
      </c>
      <c r="C44" s="27" t="s">
        <v>780</v>
      </c>
      <c r="D44" s="250">
        <v>0</v>
      </c>
      <c r="E44" s="250"/>
      <c r="F44" s="250"/>
      <c r="G44" s="250" t="e">
        <f>F44/E44*100</f>
        <v>#DIV/0!</v>
      </c>
    </row>
    <row r="45" spans="1:7" ht="15" customHeight="1">
      <c r="A45" s="174"/>
      <c r="B45" s="189" t="s">
        <v>8</v>
      </c>
      <c r="C45" s="15" t="s">
        <v>134</v>
      </c>
      <c r="D45" s="243">
        <v>0</v>
      </c>
      <c r="E45" s="243"/>
      <c r="F45" s="243"/>
      <c r="G45" s="243"/>
    </row>
    <row r="46" spans="1:7" ht="30.75" customHeight="1">
      <c r="A46" s="174"/>
      <c r="B46" s="189" t="s">
        <v>14</v>
      </c>
      <c r="C46" s="15" t="s">
        <v>137</v>
      </c>
      <c r="D46" s="243">
        <v>0</v>
      </c>
      <c r="E46" s="243">
        <v>0</v>
      </c>
      <c r="F46" s="243">
        <v>0</v>
      </c>
      <c r="G46" s="243"/>
    </row>
    <row r="47" spans="1:7" ht="15" customHeight="1">
      <c r="A47" s="174"/>
      <c r="B47" s="189" t="s">
        <v>18</v>
      </c>
      <c r="C47" s="15" t="s">
        <v>781</v>
      </c>
      <c r="D47" s="243">
        <v>0</v>
      </c>
      <c r="E47" s="243">
        <v>0</v>
      </c>
      <c r="F47" s="243">
        <v>0</v>
      </c>
      <c r="G47" s="243"/>
    </row>
    <row r="48" spans="1:7" ht="15" customHeight="1">
      <c r="A48" s="170" t="s">
        <v>19</v>
      </c>
      <c r="B48" s="12"/>
      <c r="C48" s="67" t="s">
        <v>782</v>
      </c>
      <c r="D48" s="209">
        <v>0</v>
      </c>
      <c r="E48" s="209">
        <v>0</v>
      </c>
      <c r="F48" s="209">
        <v>0</v>
      </c>
      <c r="G48" s="209"/>
    </row>
    <row r="49" spans="1:7" s="177" customFormat="1" ht="15" customHeight="1">
      <c r="A49" s="170"/>
      <c r="B49" s="12"/>
      <c r="C49" s="67" t="s">
        <v>783</v>
      </c>
      <c r="D49" s="209"/>
      <c r="E49" s="209"/>
      <c r="F49" s="209"/>
      <c r="G49" s="209"/>
    </row>
    <row r="50" spans="1:7" ht="15" customHeight="1">
      <c r="A50" s="256" t="s">
        <v>149</v>
      </c>
      <c r="B50" s="257"/>
      <c r="C50" s="467" t="s">
        <v>784</v>
      </c>
      <c r="D50" s="258">
        <f>+D34+D43+D48</f>
        <v>0</v>
      </c>
      <c r="E50" s="258">
        <f>+E34+E43+E48+E49</f>
        <v>0</v>
      </c>
      <c r="F50" s="258">
        <f>+F34+F43+F48+F49</f>
        <v>0</v>
      </c>
      <c r="G50" s="258" t="e">
        <f>F50/E50*100</f>
        <v>#DIV/0!</v>
      </c>
    </row>
    <row r="51" spans="1:7" ht="15" customHeight="1">
      <c r="A51" s="517"/>
      <c r="B51" s="449"/>
      <c r="C51" s="468" t="s">
        <v>815</v>
      </c>
      <c r="D51" s="501">
        <f>SUM(D36+D38+D40)</f>
        <v>0</v>
      </c>
      <c r="E51" s="501">
        <f>SUM(E36+E38+E40)</f>
        <v>0</v>
      </c>
      <c r="F51" s="501">
        <f>SUM(F36+F38+F40)</f>
        <v>0</v>
      </c>
      <c r="G51" s="501" t="e">
        <f>F51/E51*100</f>
        <v>#DIV/0!</v>
      </c>
    </row>
    <row r="52" spans="1:7" ht="15" customHeight="1">
      <c r="A52" s="232" t="s">
        <v>289</v>
      </c>
      <c r="B52" s="233"/>
      <c r="C52" s="234"/>
      <c r="D52" s="235"/>
      <c r="E52" s="235"/>
      <c r="F52" s="235"/>
      <c r="G52" s="235"/>
    </row>
    <row r="53" spans="1:7" ht="15" customHeight="1">
      <c r="A53" s="232" t="s">
        <v>290</v>
      </c>
      <c r="B53" s="233"/>
      <c r="C53" s="234"/>
      <c r="D53" s="469"/>
      <c r="E53" s="469"/>
      <c r="F53" s="469"/>
      <c r="G53" s="469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47244094488188981" right="0.35433070866141736" top="0.31496062992125984" bottom="0.39370078740157483" header="0.51181102362204722" footer="0.15748031496062992"/>
  <pageSetup paperSize="9" scale="92" firstPageNumber="44" orientation="portrait" r:id="rId1"/>
  <headerFooter alignWithMargins="0">
    <oddFooter xml:space="preserve">&amp;C- &amp;P - 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30" workbookViewId="0">
      <selection activeCell="D35" sqref="D35"/>
    </sheetView>
  </sheetViews>
  <sheetFormatPr defaultRowHeight="12.75"/>
  <cols>
    <col min="1" max="1" width="6.83203125" style="151" customWidth="1"/>
    <col min="2" max="2" width="9.6640625" style="152" customWidth="1"/>
    <col min="3" max="3" width="66.33203125" style="152" customWidth="1"/>
    <col min="4" max="4" width="18.83203125" style="152" customWidth="1"/>
    <col min="5" max="6" width="14.6640625" style="152" hidden="1" customWidth="1"/>
    <col min="7" max="7" width="9.1640625" style="152" hidden="1" customWidth="1"/>
    <col min="8" max="16384" width="9.33203125" style="152"/>
  </cols>
  <sheetData>
    <row r="1" spans="1:7" s="436" customFormat="1" ht="21" customHeight="1">
      <c r="A1" s="433"/>
      <c r="B1" s="434"/>
      <c r="C1" s="435"/>
      <c r="D1" s="1944" t="s">
        <v>824</v>
      </c>
      <c r="E1" s="1944"/>
      <c r="F1" s="1944"/>
      <c r="G1" s="1944"/>
    </row>
    <row r="2" spans="1:7" s="155" customFormat="1" ht="30" customHeight="1">
      <c r="A2" s="1901" t="s">
        <v>760</v>
      </c>
      <c r="B2" s="1901"/>
      <c r="C2" s="153" t="s">
        <v>825</v>
      </c>
      <c r="D2" s="1950" t="s">
        <v>1259</v>
      </c>
      <c r="E2" s="456"/>
      <c r="F2" s="456"/>
      <c r="G2" s="456"/>
    </row>
    <row r="3" spans="1:7" s="155" customFormat="1" ht="30" customHeight="1">
      <c r="A3" s="1901" t="s">
        <v>258</v>
      </c>
      <c r="B3" s="1901"/>
      <c r="C3" s="156" t="s">
        <v>818</v>
      </c>
      <c r="D3" s="1951"/>
      <c r="E3" s="437"/>
      <c r="F3" s="437"/>
      <c r="G3" s="437"/>
    </row>
    <row r="4" spans="1:7" s="159" customFormat="1" ht="15" customHeight="1">
      <c r="A4" s="157"/>
      <c r="B4" s="157"/>
      <c r="C4" s="157"/>
      <c r="D4" s="1953" t="s">
        <v>1260</v>
      </c>
      <c r="E4" s="1953"/>
      <c r="F4" s="1953"/>
      <c r="G4" s="158" t="s">
        <v>194</v>
      </c>
    </row>
    <row r="5" spans="1:7" ht="36.75" customHeigh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7" s="165" customFormat="1" ht="15" customHeight="1">
      <c r="A6" s="160">
        <v>1</v>
      </c>
      <c r="B6" s="163">
        <v>2</v>
      </c>
      <c r="C6" s="163">
        <v>3</v>
      </c>
      <c r="D6" s="164">
        <v>4</v>
      </c>
      <c r="E6" s="164">
        <v>5</v>
      </c>
      <c r="F6" s="164">
        <v>6</v>
      </c>
      <c r="G6" s="164">
        <v>7</v>
      </c>
    </row>
    <row r="7" spans="1:7" s="165" customFormat="1" ht="15" customHeight="1">
      <c r="A7" s="256"/>
      <c r="B7" s="257"/>
      <c r="C7" s="500" t="s">
        <v>196</v>
      </c>
      <c r="D7" s="258"/>
      <c r="E7" s="258"/>
      <c r="F7" s="258"/>
      <c r="G7" s="258"/>
    </row>
    <row r="8" spans="1:7" s="173" customFormat="1" ht="15" customHeight="1">
      <c r="A8" s="170" t="s">
        <v>4</v>
      </c>
      <c r="B8" s="171"/>
      <c r="C8" s="172" t="s">
        <v>762</v>
      </c>
      <c r="D8" s="242">
        <f>SUM(D9:D16)</f>
        <v>0</v>
      </c>
      <c r="E8" s="242">
        <f>SUM(E9:E16)</f>
        <v>0</v>
      </c>
      <c r="F8" s="242">
        <f>SUM(F9:F16)</f>
        <v>0</v>
      </c>
      <c r="G8" s="242" t="e">
        <f>F8/E8*100</f>
        <v>#DIV/0!</v>
      </c>
    </row>
    <row r="9" spans="1:7" s="173" customFormat="1" ht="15" customHeight="1">
      <c r="A9" s="181"/>
      <c r="B9" s="175" t="s">
        <v>102</v>
      </c>
      <c r="C9" s="19" t="s">
        <v>22</v>
      </c>
      <c r="D9" s="245">
        <v>0</v>
      </c>
      <c r="E9" s="245">
        <v>0</v>
      </c>
      <c r="F9" s="245">
        <v>0</v>
      </c>
      <c r="G9" s="245"/>
    </row>
    <row r="10" spans="1:7" s="173" customFormat="1" ht="15" customHeight="1">
      <c r="A10" s="174"/>
      <c r="B10" s="175" t="s">
        <v>104</v>
      </c>
      <c r="C10" s="15" t="s">
        <v>24</v>
      </c>
      <c r="D10" s="243">
        <v>0</v>
      </c>
      <c r="E10" s="243">
        <v>0</v>
      </c>
      <c r="F10" s="243">
        <v>0</v>
      </c>
      <c r="G10" s="243"/>
    </row>
    <row r="11" spans="1:7" s="173" customFormat="1" ht="15" customHeight="1">
      <c r="A11" s="174"/>
      <c r="B11" s="175" t="s">
        <v>106</v>
      </c>
      <c r="C11" s="15" t="s">
        <v>26</v>
      </c>
      <c r="D11" s="243"/>
      <c r="E11" s="243"/>
      <c r="F11" s="243"/>
      <c r="G11" s="243" t="e">
        <f>F11/E11*100</f>
        <v>#DIV/0!</v>
      </c>
    </row>
    <row r="12" spans="1:7" s="173" customFormat="1" ht="15" customHeight="1">
      <c r="A12" s="174"/>
      <c r="B12" s="175" t="s">
        <v>108</v>
      </c>
      <c r="C12" s="15" t="s">
        <v>28</v>
      </c>
      <c r="D12" s="243"/>
      <c r="E12" s="243"/>
      <c r="F12" s="243"/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/>
      <c r="E13" s="243"/>
      <c r="F13" s="243"/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4"/>
      <c r="E14" s="244"/>
      <c r="F14" s="244"/>
      <c r="G14" s="244"/>
    </row>
    <row r="15" spans="1:7" s="177" customFormat="1" ht="15" customHeight="1">
      <c r="A15" s="174"/>
      <c r="B15" s="175" t="s">
        <v>437</v>
      </c>
      <c r="C15" s="15" t="s">
        <v>34</v>
      </c>
      <c r="D15" s="243"/>
      <c r="E15" s="243"/>
      <c r="F15" s="243"/>
      <c r="G15" s="243"/>
    </row>
    <row r="16" spans="1:7" s="177" customFormat="1" ht="15" customHeight="1">
      <c r="A16" s="183"/>
      <c r="B16" s="184" t="s">
        <v>439</v>
      </c>
      <c r="C16" s="22" t="s">
        <v>36</v>
      </c>
      <c r="D16" s="246">
        <v>0</v>
      </c>
      <c r="E16" s="246"/>
      <c r="F16" s="246"/>
      <c r="G16" s="246"/>
    </row>
    <row r="17" spans="1:9" s="173" customFormat="1" ht="15" customHeight="1">
      <c r="A17" s="170" t="s">
        <v>5</v>
      </c>
      <c r="B17" s="171"/>
      <c r="C17" s="172" t="s">
        <v>763</v>
      </c>
      <c r="D17" s="242">
        <f>SUM(D18:D21)</f>
        <v>0</v>
      </c>
      <c r="E17" s="242">
        <f>SUM(E18:E21)</f>
        <v>0</v>
      </c>
      <c r="F17" s="242">
        <f>SUM(F18:F21)</f>
        <v>0</v>
      </c>
      <c r="G17" s="242" t="e">
        <f>F17/E17*100</f>
        <v>#DIV/0!</v>
      </c>
    </row>
    <row r="18" spans="1:9" s="177" customFormat="1" ht="15" customHeight="1">
      <c r="A18" s="174"/>
      <c r="B18" s="175" t="s">
        <v>6</v>
      </c>
      <c r="C18" s="27" t="s">
        <v>764</v>
      </c>
      <c r="D18" s="243"/>
      <c r="E18" s="243"/>
      <c r="F18" s="243"/>
      <c r="G18" s="243" t="e">
        <f>F18/E18*100</f>
        <v>#DIV/0!</v>
      </c>
    </row>
    <row r="19" spans="1:9" s="177" customFormat="1" ht="15" customHeight="1">
      <c r="A19" s="174"/>
      <c r="B19" s="175" t="s">
        <v>8</v>
      </c>
      <c r="C19" s="15" t="s">
        <v>765</v>
      </c>
      <c r="D19" s="243"/>
      <c r="E19" s="243"/>
      <c r="F19" s="243"/>
      <c r="G19" s="243"/>
    </row>
    <row r="20" spans="1:9" s="177" customFormat="1" ht="15" customHeight="1">
      <c r="A20" s="174"/>
      <c r="B20" s="175" t="s">
        <v>10</v>
      </c>
      <c r="C20" s="15" t="s">
        <v>766</v>
      </c>
      <c r="D20" s="243"/>
      <c r="E20" s="243"/>
      <c r="F20" s="243"/>
      <c r="G20" s="243"/>
    </row>
    <row r="21" spans="1:9" s="177" customFormat="1" ht="15" customHeight="1">
      <c r="A21" s="174"/>
      <c r="B21" s="175" t="s">
        <v>12</v>
      </c>
      <c r="C21" s="15" t="s">
        <v>767</v>
      </c>
      <c r="D21" s="243"/>
      <c r="E21" s="243"/>
      <c r="F21" s="243"/>
      <c r="G21" s="243" t="e">
        <f>F21/E21*100</f>
        <v>#DIV/0!</v>
      </c>
    </row>
    <row r="22" spans="1:9" s="177" customFormat="1" ht="15" customHeight="1">
      <c r="A22" s="170" t="s">
        <v>19</v>
      </c>
      <c r="B22" s="12"/>
      <c r="C22" s="12" t="s">
        <v>768</v>
      </c>
      <c r="D22" s="209">
        <v>0</v>
      </c>
      <c r="E22" s="209">
        <v>0</v>
      </c>
      <c r="F22" s="209">
        <v>0</v>
      </c>
      <c r="G22" s="209"/>
    </row>
    <row r="23" spans="1:9" s="173" customFormat="1" ht="15" customHeight="1">
      <c r="A23" s="170" t="s">
        <v>149</v>
      </c>
      <c r="B23" s="171"/>
      <c r="C23" s="12" t="s">
        <v>810</v>
      </c>
      <c r="D23" s="209">
        <v>0</v>
      </c>
      <c r="E23" s="209">
        <v>0</v>
      </c>
      <c r="F23" s="209">
        <v>0</v>
      </c>
      <c r="G23" s="209"/>
    </row>
    <row r="24" spans="1:9" s="173" customFormat="1" ht="15" customHeight="1">
      <c r="A24" s="170" t="s">
        <v>38</v>
      </c>
      <c r="B24" s="198"/>
      <c r="C24" s="12" t="s">
        <v>811</v>
      </c>
      <c r="D24" s="254">
        <f>+D25+D26</f>
        <v>0</v>
      </c>
      <c r="E24" s="254">
        <f>+E25+E26</f>
        <v>0</v>
      </c>
      <c r="F24" s="254">
        <f>+F25+F26</f>
        <v>0</v>
      </c>
      <c r="G24" s="254"/>
    </row>
    <row r="25" spans="1:9" s="173" customFormat="1" ht="15" customHeight="1">
      <c r="A25" s="181"/>
      <c r="B25" s="188" t="s">
        <v>39</v>
      </c>
      <c r="C25" s="19" t="s">
        <v>772</v>
      </c>
      <c r="D25" s="255">
        <v>0</v>
      </c>
      <c r="E25" s="255">
        <v>0</v>
      </c>
      <c r="F25" s="255">
        <v>0</v>
      </c>
      <c r="G25" s="255"/>
    </row>
    <row r="26" spans="1:9" s="173" customFormat="1" ht="15" customHeight="1">
      <c r="A26" s="191"/>
      <c r="B26" s="192" t="s">
        <v>40</v>
      </c>
      <c r="C26" s="24" t="s">
        <v>773</v>
      </c>
      <c r="D26" s="249">
        <v>0</v>
      </c>
      <c r="E26" s="249">
        <v>0</v>
      </c>
      <c r="F26" s="249">
        <v>0</v>
      </c>
      <c r="G26" s="249"/>
    </row>
    <row r="27" spans="1:9" s="177" customFormat="1" ht="15" customHeight="1">
      <c r="A27" s="201" t="s">
        <v>48</v>
      </c>
      <c r="B27" s="202"/>
      <c r="C27" s="12" t="s">
        <v>812</v>
      </c>
      <c r="D27" s="209"/>
      <c r="E27" s="209"/>
      <c r="F27" s="209"/>
      <c r="G27" s="209" t="e">
        <f>F27/E27*100</f>
        <v>#DIV/0!</v>
      </c>
      <c r="I27" s="190">
        <f>SUM(D32-D29)</f>
        <v>0</v>
      </c>
    </row>
    <row r="28" spans="1:9" s="177" customFormat="1" ht="15" customHeight="1">
      <c r="A28" s="201"/>
      <c r="B28" s="202"/>
      <c r="C28" s="12" t="s">
        <v>813</v>
      </c>
      <c r="D28" s="209"/>
      <c r="E28" s="209"/>
      <c r="F28" s="209"/>
      <c r="G28" s="209"/>
    </row>
    <row r="29" spans="1:9" s="177" customFormat="1" ht="15" customHeight="1">
      <c r="A29" s="256" t="s">
        <v>178</v>
      </c>
      <c r="B29" s="257"/>
      <c r="C29" s="467" t="s">
        <v>814</v>
      </c>
      <c r="D29" s="258">
        <f>SUM(D8,D17,D22,D23,D24,D27)</f>
        <v>0</v>
      </c>
      <c r="E29" s="258">
        <f>SUM(E8,E17,E22,E23,E24,E27,E28)</f>
        <v>0</v>
      </c>
      <c r="F29" s="258">
        <f>SUM(F8,F17,F22,F23,F24,F27,F28)</f>
        <v>0</v>
      </c>
      <c r="G29" s="258" t="e">
        <f>F29/E29*100</f>
        <v>#DIV/0!</v>
      </c>
      <c r="I29" s="190"/>
    </row>
    <row r="30" spans="1:9" s="177" customFormat="1" ht="15" customHeight="1">
      <c r="A30" s="449"/>
      <c r="B30" s="449"/>
      <c r="C30" s="468"/>
      <c r="D30" s="501"/>
      <c r="E30" s="501"/>
      <c r="F30" s="501"/>
      <c r="G30" s="501"/>
    </row>
    <row r="31" spans="1:9" s="165" customFormat="1" ht="15" customHeight="1">
      <c r="A31" s="256"/>
      <c r="B31" s="257"/>
      <c r="C31" s="500" t="s">
        <v>197</v>
      </c>
      <c r="D31" s="258"/>
      <c r="E31" s="258"/>
      <c r="F31" s="258"/>
      <c r="G31" s="258"/>
    </row>
    <row r="32" spans="1:9" s="221" customFormat="1" ht="15" customHeight="1">
      <c r="A32" s="170" t="s">
        <v>4</v>
      </c>
      <c r="B32" s="12"/>
      <c r="C32" s="67" t="s">
        <v>101</v>
      </c>
      <c r="D32" s="242">
        <f>SUM(D33:D37)</f>
        <v>0</v>
      </c>
      <c r="E32" s="242">
        <f>SUM(E33:E37)</f>
        <v>0</v>
      </c>
      <c r="F32" s="242">
        <f>SUM(F33:F37)</f>
        <v>0</v>
      </c>
      <c r="G32" s="242" t="e">
        <f>F32/E32*100</f>
        <v>#DIV/0!</v>
      </c>
    </row>
    <row r="33" spans="1:7" ht="15" customHeight="1">
      <c r="A33" s="193"/>
      <c r="B33" s="220" t="s">
        <v>102</v>
      </c>
      <c r="C33" s="27" t="s">
        <v>103</v>
      </c>
      <c r="D33" s="250"/>
      <c r="E33" s="250"/>
      <c r="F33" s="250"/>
      <c r="G33" s="250" t="e">
        <f>F33/E33*100</f>
        <v>#DIV/0!</v>
      </c>
    </row>
    <row r="34" spans="1:7" ht="15" customHeight="1">
      <c r="A34" s="174"/>
      <c r="B34" s="189" t="s">
        <v>104</v>
      </c>
      <c r="C34" s="15" t="s">
        <v>105</v>
      </c>
      <c r="D34" s="243"/>
      <c r="E34" s="243"/>
      <c r="F34" s="243"/>
      <c r="G34" s="243" t="e">
        <f>F34/E34*100</f>
        <v>#DIV/0!</v>
      </c>
    </row>
    <row r="35" spans="1:7" ht="15" customHeight="1">
      <c r="A35" s="174"/>
      <c r="B35" s="189" t="s">
        <v>106</v>
      </c>
      <c r="C35" s="15" t="s">
        <v>107</v>
      </c>
      <c r="D35" s="243"/>
      <c r="E35" s="243"/>
      <c r="F35" s="243"/>
      <c r="G35" s="243" t="e">
        <f>F35/E35*100</f>
        <v>#DIV/0!</v>
      </c>
    </row>
    <row r="36" spans="1:7" ht="15" customHeight="1">
      <c r="A36" s="174"/>
      <c r="B36" s="189" t="s">
        <v>108</v>
      </c>
      <c r="C36" s="15" t="s">
        <v>109</v>
      </c>
      <c r="D36" s="243"/>
      <c r="E36" s="243"/>
      <c r="F36" s="243"/>
      <c r="G36" s="243"/>
    </row>
    <row r="37" spans="1:7" ht="15" customHeight="1">
      <c r="A37" s="174"/>
      <c r="B37" s="189" t="s">
        <v>110</v>
      </c>
      <c r="C37" s="15" t="s">
        <v>111</v>
      </c>
      <c r="D37" s="243">
        <v>0</v>
      </c>
      <c r="E37" s="243">
        <v>0</v>
      </c>
      <c r="F37" s="243">
        <v>0</v>
      </c>
      <c r="G37" s="243"/>
    </row>
    <row r="38" spans="1:7" ht="15" customHeight="1">
      <c r="A38" s="170" t="s">
        <v>5</v>
      </c>
      <c r="B38" s="12"/>
      <c r="C38" s="67" t="s">
        <v>787</v>
      </c>
      <c r="D38" s="242">
        <f>SUM(D39:D42)</f>
        <v>0</v>
      </c>
      <c r="E38" s="242">
        <f>SUM(E39:E42)</f>
        <v>0</v>
      </c>
      <c r="F38" s="242">
        <f>SUM(F39:F42)</f>
        <v>0</v>
      </c>
      <c r="G38" s="242" t="e">
        <f>F38/E38*100</f>
        <v>#DIV/0!</v>
      </c>
    </row>
    <row r="39" spans="1:7" s="221" customFormat="1" ht="15" customHeight="1">
      <c r="A39" s="193"/>
      <c r="B39" s="220" t="s">
        <v>6</v>
      </c>
      <c r="C39" s="27" t="s">
        <v>780</v>
      </c>
      <c r="D39" s="250">
        <v>0</v>
      </c>
      <c r="E39" s="250"/>
      <c r="F39" s="250"/>
      <c r="G39" s="250" t="e">
        <f>F39/E39*100</f>
        <v>#DIV/0!</v>
      </c>
    </row>
    <row r="40" spans="1:7" ht="15" customHeight="1">
      <c r="A40" s="174"/>
      <c r="B40" s="189" t="s">
        <v>8</v>
      </c>
      <c r="C40" s="15" t="s">
        <v>134</v>
      </c>
      <c r="D40" s="243">
        <v>0</v>
      </c>
      <c r="E40" s="243">
        <v>0</v>
      </c>
      <c r="F40" s="243">
        <v>0</v>
      </c>
      <c r="G40" s="243"/>
    </row>
    <row r="41" spans="1:7" ht="30" customHeight="1">
      <c r="A41" s="174"/>
      <c r="B41" s="189" t="s">
        <v>14</v>
      </c>
      <c r="C41" s="15" t="s">
        <v>137</v>
      </c>
      <c r="D41" s="243">
        <v>0</v>
      </c>
      <c r="E41" s="243">
        <v>0</v>
      </c>
      <c r="F41" s="243">
        <v>0</v>
      </c>
      <c r="G41" s="243"/>
    </row>
    <row r="42" spans="1:7" ht="15" customHeight="1">
      <c r="A42" s="174"/>
      <c r="B42" s="189" t="s">
        <v>18</v>
      </c>
      <c r="C42" s="15" t="s">
        <v>781</v>
      </c>
      <c r="D42" s="243">
        <v>0</v>
      </c>
      <c r="E42" s="243">
        <v>0</v>
      </c>
      <c r="F42" s="243">
        <v>0</v>
      </c>
      <c r="G42" s="243"/>
    </row>
    <row r="43" spans="1:7" ht="15" customHeight="1">
      <c r="A43" s="170" t="s">
        <v>19</v>
      </c>
      <c r="B43" s="12"/>
      <c r="C43" s="67" t="s">
        <v>782</v>
      </c>
      <c r="D43" s="209">
        <v>0</v>
      </c>
      <c r="E43" s="209">
        <v>0</v>
      </c>
      <c r="F43" s="209">
        <v>0</v>
      </c>
      <c r="G43" s="209"/>
    </row>
    <row r="44" spans="1:7" s="177" customFormat="1" ht="15" customHeight="1">
      <c r="A44" s="170"/>
      <c r="B44" s="12"/>
      <c r="C44" s="67" t="s">
        <v>783</v>
      </c>
      <c r="D44" s="209"/>
      <c r="E44" s="209"/>
      <c r="F44" s="209"/>
      <c r="G44" s="209"/>
    </row>
    <row r="45" spans="1:7" ht="15" customHeight="1">
      <c r="A45" s="256" t="s">
        <v>149</v>
      </c>
      <c r="B45" s="257"/>
      <c r="C45" s="467" t="s">
        <v>784</v>
      </c>
      <c r="D45" s="258">
        <f>+D32+D38+D43</f>
        <v>0</v>
      </c>
      <c r="E45" s="258">
        <f>+E32+E38+E43+E44</f>
        <v>0</v>
      </c>
      <c r="F45" s="258">
        <f>+F32+F38+F43+F44</f>
        <v>0</v>
      </c>
      <c r="G45" s="258"/>
    </row>
    <row r="46" spans="1:7" ht="15" customHeight="1">
      <c r="A46" s="230"/>
      <c r="B46" s="231"/>
      <c r="C46" s="231"/>
      <c r="D46" s="503"/>
      <c r="E46" s="503"/>
      <c r="F46" s="503"/>
      <c r="G46" s="503"/>
    </row>
    <row r="47" spans="1:7" ht="15" customHeight="1">
      <c r="A47" s="232" t="s">
        <v>289</v>
      </c>
      <c r="B47" s="233"/>
      <c r="C47" s="234"/>
      <c r="D47" s="235"/>
      <c r="E47" s="235"/>
      <c r="F47" s="235"/>
      <c r="G47" s="235"/>
    </row>
    <row r="48" spans="1:7" ht="15" customHeight="1">
      <c r="A48" s="232" t="s">
        <v>290</v>
      </c>
      <c r="B48" s="233"/>
      <c r="C48" s="234"/>
      <c r="D48" s="469"/>
      <c r="E48" s="469"/>
      <c r="F48" s="469"/>
      <c r="G48" s="469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43307086614173229" right="0.31496062992125984" top="0.55118110236220474" bottom="0.39370078740157483" header="0.51181102362204722" footer="0.15748031496062992"/>
  <pageSetup paperSize="9" scale="95" firstPageNumber="45" orientation="portrait" r:id="rId1"/>
  <headerFooter alignWithMargins="0">
    <oddFooter>&amp;C-&amp;P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30" workbookViewId="0">
      <selection activeCell="M28" sqref="M28"/>
    </sheetView>
  </sheetViews>
  <sheetFormatPr defaultRowHeight="12.75"/>
  <cols>
    <col min="1" max="1" width="6.5" style="151" customWidth="1"/>
    <col min="2" max="2" width="9.6640625" style="152" customWidth="1"/>
    <col min="3" max="3" width="62.33203125" style="152" customWidth="1"/>
    <col min="4" max="4" width="18" style="152" customWidth="1"/>
    <col min="5" max="6" width="13.83203125" style="152" hidden="1" customWidth="1"/>
    <col min="7" max="7" width="1.33203125" style="152" hidden="1" customWidth="1"/>
    <col min="8" max="16384" width="9.33203125" style="152"/>
  </cols>
  <sheetData>
    <row r="1" spans="1:7" s="523" customFormat="1" ht="15" customHeight="1">
      <c r="A1" s="433"/>
      <c r="B1" s="434"/>
      <c r="C1" s="435"/>
      <c r="D1" s="1944" t="s">
        <v>826</v>
      </c>
      <c r="E1" s="1944"/>
      <c r="F1" s="1944"/>
      <c r="G1" s="1944"/>
    </row>
    <row r="2" spans="1:7" s="524" customFormat="1" ht="30" customHeight="1">
      <c r="A2" s="1901" t="s">
        <v>760</v>
      </c>
      <c r="B2" s="1901"/>
      <c r="C2" s="153" t="s">
        <v>827</v>
      </c>
      <c r="D2" s="1950" t="s">
        <v>1259</v>
      </c>
      <c r="E2" s="456"/>
      <c r="F2" s="456"/>
      <c r="G2" s="456"/>
    </row>
    <row r="3" spans="1:7" s="524" customFormat="1" ht="30" customHeight="1">
      <c r="A3" s="1901" t="s">
        <v>258</v>
      </c>
      <c r="B3" s="1901"/>
      <c r="C3" s="156" t="s">
        <v>818</v>
      </c>
      <c r="D3" s="1951"/>
      <c r="E3" s="437"/>
      <c r="F3" s="437"/>
      <c r="G3" s="437"/>
    </row>
    <row r="4" spans="1:7" s="524" customFormat="1" ht="15" customHeight="1">
      <c r="A4" s="157"/>
      <c r="B4" s="157"/>
      <c r="C4" s="157"/>
      <c r="D4" s="1953" t="s">
        <v>1260</v>
      </c>
      <c r="E4" s="1953"/>
      <c r="F4" s="1953"/>
      <c r="G4" s="158" t="s">
        <v>194</v>
      </c>
    </row>
    <row r="5" spans="1:7" s="177" customFormat="1" ht="29.25" customHeigh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7" s="525" customFormat="1" ht="15" customHeight="1">
      <c r="A6" s="160">
        <v>1</v>
      </c>
      <c r="B6" s="163">
        <v>2</v>
      </c>
      <c r="C6" s="163">
        <v>3</v>
      </c>
      <c r="D6" s="164">
        <v>4</v>
      </c>
      <c r="E6" s="164">
        <v>5</v>
      </c>
      <c r="F6" s="164">
        <v>6</v>
      </c>
      <c r="G6" s="164">
        <v>7</v>
      </c>
    </row>
    <row r="7" spans="1:7" s="525" customFormat="1" ht="15" customHeight="1">
      <c r="A7" s="256"/>
      <c r="B7" s="257"/>
      <c r="C7" s="500" t="s">
        <v>196</v>
      </c>
      <c r="D7" s="258"/>
      <c r="E7" s="258"/>
      <c r="F7" s="258"/>
      <c r="G7" s="258"/>
    </row>
    <row r="8" spans="1:7" s="173" customFormat="1" ht="15" customHeight="1">
      <c r="A8" s="170" t="s">
        <v>4</v>
      </c>
      <c r="B8" s="171"/>
      <c r="C8" s="172" t="s">
        <v>762</v>
      </c>
      <c r="D8" s="242">
        <f>SUM(D9:D16)</f>
        <v>0</v>
      </c>
      <c r="E8" s="242">
        <f>SUM(E9:E16)</f>
        <v>0</v>
      </c>
      <c r="F8" s="242">
        <f>SUM(F9:F16)</f>
        <v>0</v>
      </c>
      <c r="G8" s="242" t="e">
        <f>F8/E8*100</f>
        <v>#DIV/0!</v>
      </c>
    </row>
    <row r="9" spans="1:7" s="173" customFormat="1" ht="15" customHeight="1">
      <c r="A9" s="181"/>
      <c r="B9" s="175" t="s">
        <v>102</v>
      </c>
      <c r="C9" s="19" t="s">
        <v>22</v>
      </c>
      <c r="D9" s="245"/>
      <c r="E9" s="245"/>
      <c r="F9" s="245"/>
      <c r="G9" s="245"/>
    </row>
    <row r="10" spans="1:7" s="173" customFormat="1" ht="15" customHeight="1">
      <c r="A10" s="174"/>
      <c r="B10" s="175" t="s">
        <v>104</v>
      </c>
      <c r="C10" s="15" t="s">
        <v>24</v>
      </c>
      <c r="D10" s="243"/>
      <c r="E10" s="243"/>
      <c r="F10" s="243"/>
      <c r="G10" s="243"/>
    </row>
    <row r="11" spans="1:7" s="173" customFormat="1" ht="15" customHeight="1">
      <c r="A11" s="174"/>
      <c r="B11" s="175" t="s">
        <v>106</v>
      </c>
      <c r="C11" s="15" t="s">
        <v>26</v>
      </c>
      <c r="D11" s="243"/>
      <c r="E11" s="243"/>
      <c r="F11" s="243"/>
      <c r="G11" s="243" t="e">
        <f>F11/E11*100</f>
        <v>#DIV/0!</v>
      </c>
    </row>
    <row r="12" spans="1:7" s="173" customFormat="1" ht="15" customHeight="1">
      <c r="A12" s="174"/>
      <c r="B12" s="175" t="s">
        <v>108</v>
      </c>
      <c r="C12" s="15" t="s">
        <v>28</v>
      </c>
      <c r="D12" s="243"/>
      <c r="E12" s="243"/>
      <c r="F12" s="243"/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/>
      <c r="E13" s="243"/>
      <c r="F13" s="243"/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4"/>
      <c r="E14" s="244"/>
      <c r="F14" s="244"/>
      <c r="G14" s="244"/>
    </row>
    <row r="15" spans="1:7" s="177" customFormat="1" ht="15" customHeight="1">
      <c r="A15" s="174"/>
      <c r="B15" s="175" t="s">
        <v>437</v>
      </c>
      <c r="C15" s="15" t="s">
        <v>34</v>
      </c>
      <c r="D15" s="243"/>
      <c r="E15" s="243"/>
      <c r="F15" s="243"/>
      <c r="G15" s="243"/>
    </row>
    <row r="16" spans="1:7" s="177" customFormat="1" ht="15" customHeight="1">
      <c r="A16" s="183"/>
      <c r="B16" s="184" t="s">
        <v>439</v>
      </c>
      <c r="C16" s="22" t="s">
        <v>36</v>
      </c>
      <c r="D16" s="246">
        <v>0</v>
      </c>
      <c r="E16" s="246"/>
      <c r="F16" s="246"/>
      <c r="G16" s="246"/>
    </row>
    <row r="17" spans="1:9" s="173" customFormat="1" ht="15" customHeight="1">
      <c r="A17" s="170" t="s">
        <v>5</v>
      </c>
      <c r="B17" s="171"/>
      <c r="C17" s="172" t="s">
        <v>763</v>
      </c>
      <c r="D17" s="242">
        <f>SUM(D18:D21)</f>
        <v>0</v>
      </c>
      <c r="E17" s="242">
        <f>SUM(E18:E21)</f>
        <v>0</v>
      </c>
      <c r="F17" s="242">
        <f>SUM(F18:F21)</f>
        <v>0</v>
      </c>
      <c r="G17" s="242" t="e">
        <f>F17/E17*100</f>
        <v>#DIV/0!</v>
      </c>
    </row>
    <row r="18" spans="1:9" s="177" customFormat="1" ht="15" customHeight="1">
      <c r="A18" s="174"/>
      <c r="B18" s="175" t="s">
        <v>6</v>
      </c>
      <c r="C18" s="27" t="s">
        <v>764</v>
      </c>
      <c r="D18" s="243"/>
      <c r="E18" s="243"/>
      <c r="F18" s="243"/>
      <c r="G18" s="243" t="e">
        <f>F18/E18*100</f>
        <v>#DIV/0!</v>
      </c>
    </row>
    <row r="19" spans="1:9" s="177" customFormat="1" ht="15" customHeight="1">
      <c r="A19" s="174"/>
      <c r="B19" s="175" t="s">
        <v>8</v>
      </c>
      <c r="C19" s="15" t="s">
        <v>765</v>
      </c>
      <c r="D19" s="243"/>
      <c r="E19" s="243"/>
      <c r="F19" s="243"/>
      <c r="G19" s="243"/>
    </row>
    <row r="20" spans="1:9" s="177" customFormat="1" ht="15" customHeight="1">
      <c r="A20" s="174"/>
      <c r="B20" s="175" t="s">
        <v>10</v>
      </c>
      <c r="C20" s="15" t="s">
        <v>766</v>
      </c>
      <c r="D20" s="243"/>
      <c r="E20" s="243"/>
      <c r="F20" s="243"/>
      <c r="G20" s="243"/>
    </row>
    <row r="21" spans="1:9" s="177" customFormat="1" ht="15" customHeight="1">
      <c r="A21" s="174"/>
      <c r="B21" s="175" t="s">
        <v>12</v>
      </c>
      <c r="C21" s="15" t="s">
        <v>767</v>
      </c>
      <c r="D21" s="243"/>
      <c r="E21" s="243"/>
      <c r="F21" s="243"/>
      <c r="G21" s="243" t="e">
        <f>F21/E21*100</f>
        <v>#DIV/0!</v>
      </c>
    </row>
    <row r="22" spans="1:9" s="177" customFormat="1" ht="15" customHeight="1">
      <c r="A22" s="170" t="s">
        <v>19</v>
      </c>
      <c r="B22" s="12"/>
      <c r="C22" s="12" t="s">
        <v>768</v>
      </c>
      <c r="D22" s="209">
        <v>0</v>
      </c>
      <c r="E22" s="209">
        <v>0</v>
      </c>
      <c r="F22" s="209">
        <v>0</v>
      </c>
      <c r="G22" s="209"/>
    </row>
    <row r="23" spans="1:9" s="173" customFormat="1" ht="15" customHeight="1">
      <c r="A23" s="170" t="s">
        <v>149</v>
      </c>
      <c r="B23" s="171"/>
      <c r="C23" s="12" t="s">
        <v>810</v>
      </c>
      <c r="D23" s="209">
        <v>0</v>
      </c>
      <c r="E23" s="209">
        <v>0</v>
      </c>
      <c r="F23" s="209">
        <v>0</v>
      </c>
      <c r="G23" s="209"/>
    </row>
    <row r="24" spans="1:9" s="173" customFormat="1" ht="15" customHeight="1">
      <c r="A24" s="170" t="s">
        <v>38</v>
      </c>
      <c r="B24" s="198"/>
      <c r="C24" s="12" t="s">
        <v>811</v>
      </c>
      <c r="D24" s="254">
        <f>+D25+D26</f>
        <v>0</v>
      </c>
      <c r="E24" s="254">
        <f>+E25+E26</f>
        <v>0</v>
      </c>
      <c r="F24" s="254">
        <f>+F25+F26</f>
        <v>0</v>
      </c>
      <c r="G24" s="254"/>
    </row>
    <row r="25" spans="1:9" s="173" customFormat="1" ht="15" customHeight="1">
      <c r="A25" s="181"/>
      <c r="B25" s="188" t="s">
        <v>39</v>
      </c>
      <c r="C25" s="19" t="s">
        <v>772</v>
      </c>
      <c r="D25" s="255">
        <v>0</v>
      </c>
      <c r="E25" s="255">
        <v>0</v>
      </c>
      <c r="F25" s="255">
        <v>0</v>
      </c>
      <c r="G25" s="255"/>
    </row>
    <row r="26" spans="1:9" s="173" customFormat="1" ht="15" customHeight="1">
      <c r="A26" s="191"/>
      <c r="B26" s="192" t="s">
        <v>40</v>
      </c>
      <c r="C26" s="24" t="s">
        <v>773</v>
      </c>
      <c r="D26" s="249">
        <v>0</v>
      </c>
      <c r="E26" s="249">
        <v>0</v>
      </c>
      <c r="F26" s="249">
        <v>0</v>
      </c>
      <c r="G26" s="249"/>
    </row>
    <row r="27" spans="1:9" s="177" customFormat="1" ht="15" customHeight="1">
      <c r="A27" s="201" t="s">
        <v>48</v>
      </c>
      <c r="B27" s="202"/>
      <c r="C27" s="12" t="s">
        <v>812</v>
      </c>
      <c r="D27" s="209"/>
      <c r="E27" s="209"/>
      <c r="F27" s="209"/>
      <c r="G27" s="209" t="e">
        <f>F27/E27*100</f>
        <v>#DIV/0!</v>
      </c>
      <c r="I27" s="190"/>
    </row>
    <row r="28" spans="1:9" s="177" customFormat="1" ht="15" customHeight="1">
      <c r="A28" s="201"/>
      <c r="B28" s="202"/>
      <c r="C28" s="12" t="s">
        <v>813</v>
      </c>
      <c r="D28" s="209"/>
      <c r="E28" s="209"/>
      <c r="F28" s="209"/>
      <c r="G28" s="209"/>
    </row>
    <row r="29" spans="1:9" s="177" customFormat="1" ht="15" customHeight="1">
      <c r="A29" s="256" t="s">
        <v>178</v>
      </c>
      <c r="B29" s="257"/>
      <c r="C29" s="467" t="s">
        <v>814</v>
      </c>
      <c r="D29" s="258">
        <f>SUM(D8,D17,D22,D23,D24,D27)</f>
        <v>0</v>
      </c>
      <c r="E29" s="258">
        <f>SUM(E8,E17,E22,E23,E24,E27,E28)</f>
        <v>0</v>
      </c>
      <c r="F29" s="258">
        <f>SUM(F8,F17,F22,F23,F24,F27,F28)</f>
        <v>0</v>
      </c>
      <c r="G29" s="258" t="e">
        <f>F29/E29*100</f>
        <v>#DIV/0!</v>
      </c>
    </row>
    <row r="30" spans="1:9" s="177" customFormat="1" ht="15" customHeight="1">
      <c r="A30" s="449"/>
      <c r="B30" s="449"/>
      <c r="C30" s="468"/>
      <c r="D30" s="501"/>
      <c r="E30" s="501"/>
      <c r="F30" s="501"/>
      <c r="G30" s="501"/>
    </row>
    <row r="31" spans="1:9" s="525" customFormat="1" ht="15" customHeight="1">
      <c r="A31" s="256"/>
      <c r="B31" s="257"/>
      <c r="C31" s="500" t="s">
        <v>197</v>
      </c>
      <c r="D31" s="258"/>
      <c r="E31" s="258"/>
      <c r="F31" s="258"/>
      <c r="G31" s="258"/>
    </row>
    <row r="32" spans="1:9" s="173" customFormat="1" ht="15" customHeight="1">
      <c r="A32" s="170" t="s">
        <v>4</v>
      </c>
      <c r="B32" s="12"/>
      <c r="C32" s="67" t="s">
        <v>101</v>
      </c>
      <c r="D32" s="242">
        <f>SUM(D33:D37)</f>
        <v>0</v>
      </c>
      <c r="E32" s="242">
        <f>SUM(E33:E37)</f>
        <v>0</v>
      </c>
      <c r="F32" s="242">
        <f>SUM(F33:F37)</f>
        <v>0</v>
      </c>
      <c r="G32" s="242" t="e">
        <f>F32/E32*100</f>
        <v>#DIV/0!</v>
      </c>
      <c r="I32" s="518">
        <f>SUM(D35-D29)</f>
        <v>0</v>
      </c>
    </row>
    <row r="33" spans="1:7" s="177" customFormat="1" ht="15" customHeight="1">
      <c r="A33" s="193"/>
      <c r="B33" s="220" t="s">
        <v>102</v>
      </c>
      <c r="C33" s="27" t="s">
        <v>103</v>
      </c>
      <c r="D33" s="250"/>
      <c r="E33" s="250"/>
      <c r="F33" s="250"/>
      <c r="G33" s="250" t="e">
        <f>F33/E33*100</f>
        <v>#DIV/0!</v>
      </c>
    </row>
    <row r="34" spans="1:7" s="177" customFormat="1" ht="15" customHeight="1">
      <c r="A34" s="174"/>
      <c r="B34" s="189" t="s">
        <v>104</v>
      </c>
      <c r="C34" s="15" t="s">
        <v>105</v>
      </c>
      <c r="D34" s="243"/>
      <c r="E34" s="243"/>
      <c r="F34" s="243"/>
      <c r="G34" s="243" t="e">
        <f>F34/E34*100</f>
        <v>#DIV/0!</v>
      </c>
    </row>
    <row r="35" spans="1:7" s="177" customFormat="1" ht="15" customHeight="1">
      <c r="A35" s="174"/>
      <c r="B35" s="189" t="s">
        <v>106</v>
      </c>
      <c r="C35" s="15" t="s">
        <v>107</v>
      </c>
      <c r="D35" s="243"/>
      <c r="E35" s="243"/>
      <c r="F35" s="243"/>
      <c r="G35" s="243" t="e">
        <f>F35/E35*100</f>
        <v>#DIV/0!</v>
      </c>
    </row>
    <row r="36" spans="1:7" s="177" customFormat="1" ht="15" customHeight="1">
      <c r="A36" s="174"/>
      <c r="B36" s="189" t="s">
        <v>108</v>
      </c>
      <c r="C36" s="15" t="s">
        <v>109</v>
      </c>
      <c r="D36" s="243">
        <v>0</v>
      </c>
      <c r="E36" s="243">
        <v>0</v>
      </c>
      <c r="F36" s="243">
        <v>0</v>
      </c>
      <c r="G36" s="243"/>
    </row>
    <row r="37" spans="1:7" s="177" customFormat="1" ht="15" customHeight="1">
      <c r="A37" s="174"/>
      <c r="B37" s="189" t="s">
        <v>110</v>
      </c>
      <c r="C37" s="15" t="s">
        <v>111</v>
      </c>
      <c r="D37" s="243">
        <v>0</v>
      </c>
      <c r="E37" s="243">
        <v>0</v>
      </c>
      <c r="F37" s="243">
        <v>0</v>
      </c>
      <c r="G37" s="243"/>
    </row>
    <row r="38" spans="1:7" s="177" customFormat="1" ht="15" customHeight="1">
      <c r="A38" s="170" t="s">
        <v>5</v>
      </c>
      <c r="B38" s="12"/>
      <c r="C38" s="67" t="s">
        <v>787</v>
      </c>
      <c r="D38" s="242">
        <f>SUM(D39:D42)</f>
        <v>0</v>
      </c>
      <c r="E38" s="242">
        <f>SUM(E39:E42)</f>
        <v>0</v>
      </c>
      <c r="F38" s="242">
        <f>SUM(F39:F42)</f>
        <v>0</v>
      </c>
      <c r="G38" s="242" t="e">
        <f>F38/E38*100</f>
        <v>#DIV/0!</v>
      </c>
    </row>
    <row r="39" spans="1:7" s="173" customFormat="1" ht="15" customHeight="1">
      <c r="A39" s="193"/>
      <c r="B39" s="220" t="s">
        <v>6</v>
      </c>
      <c r="C39" s="27" t="s">
        <v>780</v>
      </c>
      <c r="D39" s="250">
        <v>0</v>
      </c>
      <c r="E39" s="250"/>
      <c r="F39" s="250"/>
      <c r="G39" s="250" t="e">
        <f>F39/E39*100</f>
        <v>#DIV/0!</v>
      </c>
    </row>
    <row r="40" spans="1:7" s="177" customFormat="1" ht="15" customHeight="1">
      <c r="A40" s="174"/>
      <c r="B40" s="189" t="s">
        <v>8</v>
      </c>
      <c r="C40" s="15" t="s">
        <v>134</v>
      </c>
      <c r="D40" s="243">
        <v>0</v>
      </c>
      <c r="E40" s="243"/>
      <c r="F40" s="243"/>
      <c r="G40" s="243"/>
    </row>
    <row r="41" spans="1:7" s="177" customFormat="1" ht="30.75" customHeight="1">
      <c r="A41" s="174"/>
      <c r="B41" s="189" t="s">
        <v>14</v>
      </c>
      <c r="C41" s="15" t="s">
        <v>137</v>
      </c>
      <c r="D41" s="243">
        <v>0</v>
      </c>
      <c r="E41" s="243">
        <v>0</v>
      </c>
      <c r="F41" s="243">
        <v>0</v>
      </c>
      <c r="G41" s="243"/>
    </row>
    <row r="42" spans="1:7" s="177" customFormat="1" ht="15" customHeight="1">
      <c r="A42" s="174"/>
      <c r="B42" s="189" t="s">
        <v>18</v>
      </c>
      <c r="C42" s="15" t="s">
        <v>781</v>
      </c>
      <c r="D42" s="243">
        <v>0</v>
      </c>
      <c r="E42" s="243">
        <v>0</v>
      </c>
      <c r="F42" s="243">
        <v>0</v>
      </c>
      <c r="G42" s="243"/>
    </row>
    <row r="43" spans="1:7" s="177" customFormat="1" ht="15" customHeight="1">
      <c r="A43" s="170" t="s">
        <v>19</v>
      </c>
      <c r="B43" s="12"/>
      <c r="C43" s="67" t="s">
        <v>782</v>
      </c>
      <c r="D43" s="209">
        <v>0</v>
      </c>
      <c r="E43" s="209">
        <v>0</v>
      </c>
      <c r="F43" s="209">
        <v>0</v>
      </c>
      <c r="G43" s="209"/>
    </row>
    <row r="44" spans="1:7" s="177" customFormat="1" ht="15" customHeight="1">
      <c r="A44" s="170"/>
      <c r="B44" s="12"/>
      <c r="C44" s="67" t="s">
        <v>783</v>
      </c>
      <c r="D44" s="209"/>
      <c r="E44" s="209"/>
      <c r="F44" s="209"/>
      <c r="G44" s="209"/>
    </row>
    <row r="45" spans="1:7" s="177" customFormat="1" ht="15" customHeight="1">
      <c r="A45" s="256" t="s">
        <v>149</v>
      </c>
      <c r="B45" s="257"/>
      <c r="C45" s="467" t="s">
        <v>784</v>
      </c>
      <c r="D45" s="258">
        <f>+D32+D38+D43</f>
        <v>0</v>
      </c>
      <c r="E45" s="258">
        <f>+E32+E38+E43+E44</f>
        <v>0</v>
      </c>
      <c r="F45" s="258">
        <f>+F32+F38+F43+F44</f>
        <v>0</v>
      </c>
      <c r="G45" s="258" t="e">
        <f>F45/E45*100</f>
        <v>#DIV/0!</v>
      </c>
    </row>
    <row r="46" spans="1:7" s="177" customFormat="1" ht="15" customHeight="1">
      <c r="A46" s="230"/>
      <c r="B46" s="231"/>
      <c r="C46" s="231"/>
      <c r="D46" s="503"/>
      <c r="E46" s="503"/>
      <c r="F46" s="503"/>
      <c r="G46" s="503"/>
    </row>
    <row r="47" spans="1:7" s="177" customFormat="1" ht="15" customHeight="1">
      <c r="A47" s="232" t="s">
        <v>289</v>
      </c>
      <c r="B47" s="233"/>
      <c r="C47" s="234"/>
      <c r="D47" s="235"/>
      <c r="E47" s="235"/>
      <c r="F47" s="235"/>
      <c r="G47" s="235"/>
    </row>
    <row r="48" spans="1:7" s="177" customFormat="1" ht="15" customHeight="1">
      <c r="A48" s="232" t="s">
        <v>290</v>
      </c>
      <c r="B48" s="233"/>
      <c r="C48" s="234"/>
      <c r="D48" s="469"/>
      <c r="E48" s="469"/>
      <c r="F48" s="469"/>
      <c r="G48" s="469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31496062992125984" right="0.27559055118110237" top="0.55118110236220474" bottom="0.39370078740157483" header="0.51181102362204722" footer="0.19685039370078741"/>
  <pageSetup paperSize="9" scale="95" firstPageNumber="46" orientation="portrait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topLeftCell="A31" zoomScaleNormal="130" workbookViewId="0">
      <selection activeCell="L19" sqref="L19"/>
    </sheetView>
  </sheetViews>
  <sheetFormatPr defaultRowHeight="12.75"/>
  <cols>
    <col min="1" max="1" width="6.5" style="151" customWidth="1"/>
    <col min="2" max="2" width="9.6640625" style="152" customWidth="1"/>
    <col min="3" max="3" width="64.1640625" style="152" customWidth="1"/>
    <col min="4" max="4" width="19" style="152" customWidth="1"/>
    <col min="5" max="6" width="14.83203125" style="152" hidden="1" customWidth="1"/>
    <col min="7" max="7" width="10" style="152" hidden="1" customWidth="1"/>
    <col min="8" max="16384" width="9.33203125" style="152"/>
  </cols>
  <sheetData>
    <row r="1" spans="1:7" s="523" customFormat="1" ht="15" customHeight="1">
      <c r="A1" s="433"/>
      <c r="B1" s="434"/>
      <c r="C1" s="435"/>
      <c r="D1" s="1944" t="s">
        <v>828</v>
      </c>
      <c r="E1" s="1944"/>
      <c r="F1" s="1944"/>
      <c r="G1" s="1944"/>
    </row>
    <row r="2" spans="1:7" s="524" customFormat="1" ht="30" customHeight="1">
      <c r="A2" s="1901" t="s">
        <v>760</v>
      </c>
      <c r="B2" s="1901"/>
      <c r="C2" s="153" t="s">
        <v>829</v>
      </c>
      <c r="D2" s="1950" t="s">
        <v>1259</v>
      </c>
      <c r="E2" s="456"/>
      <c r="F2" s="456"/>
      <c r="G2" s="456"/>
    </row>
    <row r="3" spans="1:7" s="524" customFormat="1" ht="30" customHeight="1">
      <c r="A3" s="1901" t="s">
        <v>258</v>
      </c>
      <c r="B3" s="1901"/>
      <c r="C3" s="156" t="s">
        <v>830</v>
      </c>
      <c r="D3" s="1951"/>
      <c r="E3" s="437"/>
      <c r="F3" s="437"/>
      <c r="G3" s="437"/>
    </row>
    <row r="4" spans="1:7" s="524" customFormat="1" ht="15" customHeight="1">
      <c r="A4" s="157"/>
      <c r="B4" s="157"/>
      <c r="C4" s="157"/>
      <c r="D4" s="1953" t="s">
        <v>1260</v>
      </c>
      <c r="E4" s="1953"/>
      <c r="F4" s="1953"/>
      <c r="G4" s="158" t="s">
        <v>194</v>
      </c>
    </row>
    <row r="5" spans="1:7" s="177" customFormat="1" ht="49.5" customHeight="1">
      <c r="A5" s="1900" t="s">
        <v>260</v>
      </c>
      <c r="B5" s="1900"/>
      <c r="C5" s="161" t="s">
        <v>261</v>
      </c>
      <c r="D5" s="162" t="s">
        <v>262</v>
      </c>
      <c r="E5" s="162" t="s">
        <v>263</v>
      </c>
      <c r="F5" s="162" t="s">
        <v>264</v>
      </c>
      <c r="G5" s="162" t="s">
        <v>2</v>
      </c>
    </row>
    <row r="6" spans="1:7" s="525" customFormat="1" ht="15" customHeight="1">
      <c r="A6" s="160">
        <v>1</v>
      </c>
      <c r="B6" s="163">
        <v>2</v>
      </c>
      <c r="C6" s="163">
        <v>3</v>
      </c>
      <c r="D6" s="164">
        <v>4</v>
      </c>
      <c r="E6" s="164">
        <v>5</v>
      </c>
      <c r="F6" s="164">
        <v>6</v>
      </c>
      <c r="G6" s="164">
        <v>7</v>
      </c>
    </row>
    <row r="7" spans="1:7" s="525" customFormat="1" ht="15" customHeight="1">
      <c r="A7" s="256"/>
      <c r="B7" s="257"/>
      <c r="C7" s="500" t="s">
        <v>196</v>
      </c>
      <c r="D7" s="258"/>
      <c r="E7" s="258"/>
      <c r="F7" s="258"/>
      <c r="G7" s="258"/>
    </row>
    <row r="8" spans="1:7" s="173" customFormat="1" ht="15" customHeight="1">
      <c r="A8" s="170" t="s">
        <v>4</v>
      </c>
      <c r="B8" s="171"/>
      <c r="C8" s="172" t="s">
        <v>762</v>
      </c>
      <c r="D8" s="242">
        <f>SUM(D9:D16)</f>
        <v>0</v>
      </c>
      <c r="E8" s="242">
        <f>SUM(E9:E16)</f>
        <v>0</v>
      </c>
      <c r="F8" s="242">
        <f>SUM(F9:F16)</f>
        <v>0</v>
      </c>
      <c r="G8" s="242" t="e">
        <f>F8/E8*100</f>
        <v>#DIV/0!</v>
      </c>
    </row>
    <row r="9" spans="1:7" s="173" customFormat="1" ht="15" customHeight="1">
      <c r="A9" s="181"/>
      <c r="B9" s="175" t="s">
        <v>102</v>
      </c>
      <c r="C9" s="19" t="s">
        <v>22</v>
      </c>
      <c r="D9" s="245"/>
      <c r="E9" s="245"/>
      <c r="F9" s="245"/>
      <c r="G9" s="245"/>
    </row>
    <row r="10" spans="1:7" s="173" customFormat="1" ht="15" customHeight="1">
      <c r="A10" s="174"/>
      <c r="B10" s="175" t="s">
        <v>104</v>
      </c>
      <c r="C10" s="15" t="s">
        <v>24</v>
      </c>
      <c r="D10" s="243"/>
      <c r="E10" s="243"/>
      <c r="F10" s="243"/>
      <c r="G10" s="243" t="e">
        <f>F10/E10*100</f>
        <v>#DIV/0!</v>
      </c>
    </row>
    <row r="11" spans="1:7" s="173" customFormat="1" ht="15" customHeight="1">
      <c r="A11" s="174"/>
      <c r="B11" s="175" t="s">
        <v>106</v>
      </c>
      <c r="C11" s="15" t="s">
        <v>26</v>
      </c>
      <c r="D11" s="243"/>
      <c r="E11" s="243"/>
      <c r="F11" s="243"/>
      <c r="G11" s="243"/>
    </row>
    <row r="12" spans="1:7" s="173" customFormat="1" ht="15" customHeight="1">
      <c r="A12" s="174"/>
      <c r="B12" s="175" t="s">
        <v>108</v>
      </c>
      <c r="C12" s="15" t="s">
        <v>28</v>
      </c>
      <c r="D12" s="243"/>
      <c r="E12" s="243"/>
      <c r="F12" s="243"/>
      <c r="G12" s="243"/>
    </row>
    <row r="13" spans="1:7" s="173" customFormat="1" ht="15" customHeight="1">
      <c r="A13" s="174"/>
      <c r="B13" s="175" t="s">
        <v>432</v>
      </c>
      <c r="C13" s="22" t="s">
        <v>30</v>
      </c>
      <c r="D13" s="243"/>
      <c r="E13" s="243"/>
      <c r="F13" s="243"/>
      <c r="G13" s="243"/>
    </row>
    <row r="14" spans="1:7" s="173" customFormat="1" ht="15" customHeight="1">
      <c r="A14" s="178"/>
      <c r="B14" s="175" t="s">
        <v>434</v>
      </c>
      <c r="C14" s="15" t="s">
        <v>32</v>
      </c>
      <c r="D14" s="244"/>
      <c r="E14" s="244"/>
      <c r="F14" s="244"/>
      <c r="G14" s="244"/>
    </row>
    <row r="15" spans="1:7" s="177" customFormat="1" ht="15" customHeight="1">
      <c r="A15" s="174"/>
      <c r="B15" s="175" t="s">
        <v>437</v>
      </c>
      <c r="C15" s="15" t="s">
        <v>34</v>
      </c>
      <c r="D15" s="243"/>
      <c r="E15" s="243"/>
      <c r="F15" s="243"/>
      <c r="G15" s="243"/>
    </row>
    <row r="16" spans="1:7" s="177" customFormat="1" ht="15" customHeight="1">
      <c r="A16" s="183"/>
      <c r="B16" s="184" t="s">
        <v>439</v>
      </c>
      <c r="C16" s="22" t="s">
        <v>36</v>
      </c>
      <c r="D16" s="246"/>
      <c r="E16" s="246"/>
      <c r="F16" s="246"/>
      <c r="G16" s="246"/>
    </row>
    <row r="17" spans="1:9" s="173" customFormat="1" ht="15" customHeight="1">
      <c r="A17" s="170" t="s">
        <v>5</v>
      </c>
      <c r="B17" s="171"/>
      <c r="C17" s="172" t="s">
        <v>763</v>
      </c>
      <c r="D17" s="242">
        <f>SUM(D18:D21)</f>
        <v>0</v>
      </c>
      <c r="E17" s="242">
        <f>SUM(E18:E21)</f>
        <v>0</v>
      </c>
      <c r="F17" s="242">
        <f>SUM(F18:F21)</f>
        <v>0</v>
      </c>
      <c r="G17" s="242" t="e">
        <f>F17/E17*100</f>
        <v>#DIV/0!</v>
      </c>
    </row>
    <row r="18" spans="1:9" s="177" customFormat="1" ht="15" customHeight="1">
      <c r="A18" s="174"/>
      <c r="B18" s="175" t="s">
        <v>6</v>
      </c>
      <c r="C18" s="27" t="s">
        <v>764</v>
      </c>
      <c r="D18" s="243"/>
      <c r="E18" s="243"/>
      <c r="F18" s="243"/>
      <c r="G18" s="243" t="e">
        <f>F18/E18*100</f>
        <v>#DIV/0!</v>
      </c>
    </row>
    <row r="19" spans="1:9" s="177" customFormat="1" ht="15" customHeight="1">
      <c r="A19" s="174"/>
      <c r="B19" s="175" t="s">
        <v>8</v>
      </c>
      <c r="C19" s="15" t="s">
        <v>765</v>
      </c>
      <c r="D19" s="243">
        <v>0</v>
      </c>
      <c r="E19" s="243">
        <v>0</v>
      </c>
      <c r="F19" s="243">
        <v>0</v>
      </c>
      <c r="G19" s="243"/>
    </row>
    <row r="20" spans="1:9" s="177" customFormat="1" ht="15" customHeight="1">
      <c r="A20" s="174"/>
      <c r="B20" s="175" t="s">
        <v>10</v>
      </c>
      <c r="C20" s="15" t="s">
        <v>766</v>
      </c>
      <c r="D20" s="243">
        <v>0</v>
      </c>
      <c r="E20" s="243">
        <v>0</v>
      </c>
      <c r="F20" s="243">
        <v>0</v>
      </c>
      <c r="G20" s="243"/>
    </row>
    <row r="21" spans="1:9" s="177" customFormat="1" ht="15" customHeight="1">
      <c r="A21" s="174"/>
      <c r="B21" s="175" t="s">
        <v>12</v>
      </c>
      <c r="C21" s="15" t="s">
        <v>767</v>
      </c>
      <c r="D21" s="243">
        <v>0</v>
      </c>
      <c r="E21" s="243">
        <v>0</v>
      </c>
      <c r="F21" s="243">
        <v>0</v>
      </c>
      <c r="G21" s="243"/>
    </row>
    <row r="22" spans="1:9" s="177" customFormat="1" ht="15" customHeight="1">
      <c r="A22" s="170" t="s">
        <v>19</v>
      </c>
      <c r="B22" s="12"/>
      <c r="C22" s="12" t="s">
        <v>768</v>
      </c>
      <c r="D22" s="209">
        <v>0</v>
      </c>
      <c r="E22" s="209">
        <v>0</v>
      </c>
      <c r="F22" s="209">
        <v>0</v>
      </c>
      <c r="G22" s="209"/>
    </row>
    <row r="23" spans="1:9" s="173" customFormat="1" ht="15" customHeight="1">
      <c r="A23" s="170" t="s">
        <v>149</v>
      </c>
      <c r="B23" s="171"/>
      <c r="C23" s="12" t="s">
        <v>810</v>
      </c>
      <c r="D23" s="209">
        <v>0</v>
      </c>
      <c r="E23" s="209">
        <v>0</v>
      </c>
      <c r="F23" s="209">
        <v>0</v>
      </c>
      <c r="G23" s="209"/>
    </row>
    <row r="24" spans="1:9" s="173" customFormat="1" ht="15" customHeight="1">
      <c r="A24" s="170" t="s">
        <v>38</v>
      </c>
      <c r="B24" s="198"/>
      <c r="C24" s="12" t="s">
        <v>811</v>
      </c>
      <c r="D24" s="254">
        <f>+D25+D26</f>
        <v>0</v>
      </c>
      <c r="E24" s="254">
        <f>+E25+E26</f>
        <v>0</v>
      </c>
      <c r="F24" s="254">
        <f>+F25+F26</f>
        <v>0</v>
      </c>
      <c r="G24" s="254"/>
    </row>
    <row r="25" spans="1:9" s="173" customFormat="1" ht="15" customHeight="1">
      <c r="A25" s="181"/>
      <c r="B25" s="188" t="s">
        <v>39</v>
      </c>
      <c r="C25" s="19" t="s">
        <v>772</v>
      </c>
      <c r="D25" s="255">
        <v>0</v>
      </c>
      <c r="E25" s="255">
        <v>0</v>
      </c>
      <c r="F25" s="255">
        <v>0</v>
      </c>
      <c r="G25" s="255"/>
    </row>
    <row r="26" spans="1:9" s="173" customFormat="1" ht="15" customHeight="1">
      <c r="A26" s="191"/>
      <c r="B26" s="192" t="s">
        <v>40</v>
      </c>
      <c r="C26" s="24" t="s">
        <v>773</v>
      </c>
      <c r="D26" s="249">
        <v>0</v>
      </c>
      <c r="E26" s="249">
        <v>0</v>
      </c>
      <c r="F26" s="249">
        <v>0</v>
      </c>
      <c r="G26" s="249"/>
    </row>
    <row r="27" spans="1:9" s="177" customFormat="1" ht="15" customHeight="1">
      <c r="A27" s="201" t="s">
        <v>48</v>
      </c>
      <c r="B27" s="202"/>
      <c r="C27" s="12" t="s">
        <v>812</v>
      </c>
      <c r="D27" s="209"/>
      <c r="E27" s="209"/>
      <c r="F27" s="209"/>
      <c r="G27" s="209" t="e">
        <f>F27/E27*100</f>
        <v>#DIV/0!</v>
      </c>
    </row>
    <row r="28" spans="1:9" s="177" customFormat="1" ht="15" customHeight="1">
      <c r="A28" s="201"/>
      <c r="B28" s="202"/>
      <c r="C28" s="12" t="s">
        <v>813</v>
      </c>
      <c r="D28" s="209"/>
      <c r="E28" s="209"/>
      <c r="F28" s="209"/>
      <c r="G28" s="209"/>
    </row>
    <row r="29" spans="1:9" s="177" customFormat="1" ht="15" customHeight="1">
      <c r="A29" s="256" t="s">
        <v>178</v>
      </c>
      <c r="B29" s="257"/>
      <c r="C29" s="467" t="s">
        <v>814</v>
      </c>
      <c r="D29" s="258">
        <f>SUM(D8,D17,D22,D23,D24,D27)</f>
        <v>0</v>
      </c>
      <c r="E29" s="258">
        <f>SUM(E8,E17,E22,E23,E24,E27,E28)</f>
        <v>0</v>
      </c>
      <c r="F29" s="258">
        <f>SUM(F8,F17,F22,F23,F24,F27,F28)</f>
        <v>0</v>
      </c>
      <c r="G29" s="258" t="e">
        <f>F29/E29*100</f>
        <v>#DIV/0!</v>
      </c>
      <c r="I29" s="190"/>
    </row>
    <row r="30" spans="1:9" s="177" customFormat="1" ht="15" customHeight="1">
      <c r="A30" s="449"/>
      <c r="B30" s="449"/>
      <c r="C30" s="468"/>
      <c r="D30" s="501"/>
      <c r="E30" s="501"/>
      <c r="F30" s="501"/>
      <c r="G30" s="501"/>
    </row>
    <row r="31" spans="1:9" s="525" customFormat="1" ht="15" customHeight="1">
      <c r="A31" s="256"/>
      <c r="B31" s="257"/>
      <c r="C31" s="500" t="s">
        <v>197</v>
      </c>
      <c r="D31" s="258"/>
      <c r="E31" s="258"/>
      <c r="F31" s="258"/>
      <c r="G31" s="258"/>
    </row>
    <row r="32" spans="1:9" s="173" customFormat="1" ht="15" customHeight="1">
      <c r="A32" s="170" t="s">
        <v>4</v>
      </c>
      <c r="B32" s="12"/>
      <c r="C32" s="67" t="s">
        <v>101</v>
      </c>
      <c r="D32" s="242">
        <f>SUM(D33:D37)</f>
        <v>0</v>
      </c>
      <c r="E32" s="242">
        <f>SUM(E33:E37)</f>
        <v>0</v>
      </c>
      <c r="F32" s="242">
        <f>SUM(F33:F37)</f>
        <v>0</v>
      </c>
      <c r="G32" s="242" t="e">
        <f>F32/E32*100</f>
        <v>#DIV/0!</v>
      </c>
    </row>
    <row r="33" spans="1:7" s="177" customFormat="1" ht="15" customHeight="1">
      <c r="A33" s="193"/>
      <c r="B33" s="220" t="s">
        <v>102</v>
      </c>
      <c r="C33" s="27" t="s">
        <v>103</v>
      </c>
      <c r="D33" s="250"/>
      <c r="E33" s="250"/>
      <c r="F33" s="250"/>
      <c r="G33" s="250" t="e">
        <f>F33/E33*100</f>
        <v>#DIV/0!</v>
      </c>
    </row>
    <row r="34" spans="1:7" s="177" customFormat="1" ht="15" customHeight="1">
      <c r="A34" s="174"/>
      <c r="B34" s="189" t="s">
        <v>104</v>
      </c>
      <c r="C34" s="15" t="s">
        <v>105</v>
      </c>
      <c r="D34" s="243"/>
      <c r="E34" s="243"/>
      <c r="F34" s="243"/>
      <c r="G34" s="243" t="e">
        <f>F34/E34*100</f>
        <v>#DIV/0!</v>
      </c>
    </row>
    <row r="35" spans="1:7" s="177" customFormat="1" ht="15" customHeight="1">
      <c r="A35" s="174"/>
      <c r="B35" s="189" t="s">
        <v>106</v>
      </c>
      <c r="C35" s="15" t="s">
        <v>107</v>
      </c>
      <c r="D35" s="243"/>
      <c r="E35" s="243"/>
      <c r="F35" s="243"/>
      <c r="G35" s="243" t="e">
        <f>F35/E35*100</f>
        <v>#DIV/0!</v>
      </c>
    </row>
    <row r="36" spans="1:7" s="177" customFormat="1" ht="15" customHeight="1">
      <c r="A36" s="174"/>
      <c r="B36" s="189" t="s">
        <v>108</v>
      </c>
      <c r="C36" s="15" t="s">
        <v>109</v>
      </c>
      <c r="D36" s="243"/>
      <c r="E36" s="243"/>
      <c r="F36" s="243"/>
      <c r="G36" s="243"/>
    </row>
    <row r="37" spans="1:7" s="177" customFormat="1" ht="15" customHeight="1">
      <c r="A37" s="174"/>
      <c r="B37" s="189" t="s">
        <v>110</v>
      </c>
      <c r="C37" s="15" t="s">
        <v>111</v>
      </c>
      <c r="D37" s="243">
        <v>0</v>
      </c>
      <c r="E37" s="243">
        <v>0</v>
      </c>
      <c r="F37" s="243">
        <v>0</v>
      </c>
      <c r="G37" s="243"/>
    </row>
    <row r="38" spans="1:7" s="177" customFormat="1" ht="15" customHeight="1">
      <c r="A38" s="170" t="s">
        <v>5</v>
      </c>
      <c r="B38" s="12"/>
      <c r="C38" s="67" t="s">
        <v>787</v>
      </c>
      <c r="D38" s="242">
        <f>SUM(D39:D42)</f>
        <v>0</v>
      </c>
      <c r="E38" s="242">
        <f>SUM(E39:E42)</f>
        <v>0</v>
      </c>
      <c r="F38" s="242">
        <f>SUM(F39:F42)</f>
        <v>0</v>
      </c>
      <c r="G38" s="242"/>
    </row>
    <row r="39" spans="1:7" s="173" customFormat="1" ht="15" customHeight="1">
      <c r="A39" s="193"/>
      <c r="B39" s="220" t="s">
        <v>6</v>
      </c>
      <c r="C39" s="27" t="s">
        <v>780</v>
      </c>
      <c r="D39" s="250">
        <v>0</v>
      </c>
      <c r="E39" s="250">
        <v>0</v>
      </c>
      <c r="F39" s="250">
        <v>0</v>
      </c>
      <c r="G39" s="250"/>
    </row>
    <row r="40" spans="1:7" s="177" customFormat="1" ht="15" customHeight="1">
      <c r="A40" s="174"/>
      <c r="B40" s="189" t="s">
        <v>8</v>
      </c>
      <c r="C40" s="15" t="s">
        <v>134</v>
      </c>
      <c r="D40" s="243">
        <v>0</v>
      </c>
      <c r="E40" s="243">
        <v>0</v>
      </c>
      <c r="F40" s="243">
        <v>0</v>
      </c>
      <c r="G40" s="243"/>
    </row>
    <row r="41" spans="1:7" s="177" customFormat="1" ht="30" customHeight="1">
      <c r="A41" s="174"/>
      <c r="B41" s="189" t="s">
        <v>14</v>
      </c>
      <c r="C41" s="15" t="s">
        <v>137</v>
      </c>
      <c r="D41" s="243">
        <v>0</v>
      </c>
      <c r="E41" s="243">
        <v>0</v>
      </c>
      <c r="F41" s="243">
        <v>0</v>
      </c>
      <c r="G41" s="243"/>
    </row>
    <row r="42" spans="1:7" s="177" customFormat="1" ht="15" customHeight="1">
      <c r="A42" s="174"/>
      <c r="B42" s="189" t="s">
        <v>18</v>
      </c>
      <c r="C42" s="15" t="s">
        <v>781</v>
      </c>
      <c r="D42" s="243">
        <v>0</v>
      </c>
      <c r="E42" s="243">
        <v>0</v>
      </c>
      <c r="F42" s="243">
        <v>0</v>
      </c>
      <c r="G42" s="243"/>
    </row>
    <row r="43" spans="1:7" s="177" customFormat="1" ht="15" customHeight="1">
      <c r="A43" s="170" t="s">
        <v>19</v>
      </c>
      <c r="B43" s="12"/>
      <c r="C43" s="67" t="s">
        <v>782</v>
      </c>
      <c r="D43" s="209">
        <v>0</v>
      </c>
      <c r="E43" s="209">
        <v>0</v>
      </c>
      <c r="F43" s="209">
        <v>0</v>
      </c>
      <c r="G43" s="209"/>
    </row>
    <row r="44" spans="1:7" s="177" customFormat="1" ht="15" customHeight="1">
      <c r="A44" s="170"/>
      <c r="B44" s="12"/>
      <c r="C44" s="67" t="s">
        <v>783</v>
      </c>
      <c r="D44" s="209"/>
      <c r="E44" s="209"/>
      <c r="F44" s="209"/>
      <c r="G44" s="209"/>
    </row>
    <row r="45" spans="1:7" s="177" customFormat="1" ht="15" customHeight="1">
      <c r="A45" s="256" t="s">
        <v>149</v>
      </c>
      <c r="B45" s="257"/>
      <c r="C45" s="467" t="s">
        <v>784</v>
      </c>
      <c r="D45" s="258">
        <f>+D32+D38+D43</f>
        <v>0</v>
      </c>
      <c r="E45" s="258">
        <f>+E32+E38+E43+E44</f>
        <v>0</v>
      </c>
      <c r="F45" s="258">
        <f>+F32+F38+F43+F44</f>
        <v>0</v>
      </c>
      <c r="G45" s="258" t="e">
        <f>F45/E45*100</f>
        <v>#DIV/0!</v>
      </c>
    </row>
    <row r="46" spans="1:7" s="177" customFormat="1" ht="15" customHeight="1">
      <c r="A46" s="230"/>
      <c r="B46" s="231"/>
      <c r="C46" s="231"/>
      <c r="D46" s="503"/>
      <c r="E46" s="503"/>
      <c r="F46" s="503"/>
      <c r="G46" s="503"/>
    </row>
    <row r="47" spans="1:7" s="177" customFormat="1" ht="15" customHeight="1">
      <c r="A47" s="232" t="s">
        <v>289</v>
      </c>
      <c r="B47" s="233"/>
      <c r="C47" s="234"/>
      <c r="D47" s="235"/>
      <c r="E47" s="235"/>
      <c r="F47" s="235"/>
      <c r="G47" s="235"/>
    </row>
    <row r="48" spans="1:7" s="177" customFormat="1" ht="15" customHeight="1">
      <c r="A48" s="232" t="s">
        <v>290</v>
      </c>
      <c r="B48" s="233"/>
      <c r="C48" s="234"/>
      <c r="D48" s="469"/>
      <c r="E48" s="469"/>
      <c r="F48" s="469"/>
      <c r="G48" s="469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35433070866141736" right="0.27559055118110237" top="0.31496062992125984" bottom="0.31496062992125984" header="0.15748031496062992" footer="0.15748031496062992"/>
  <pageSetup paperSize="9" firstPageNumber="47" orientation="portrait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B1" zoomScaleSheetLayoutView="110" workbookViewId="0">
      <selection activeCell="A18" sqref="A18:K35"/>
    </sheetView>
  </sheetViews>
  <sheetFormatPr defaultRowHeight="15"/>
  <cols>
    <col min="1" max="1" width="24.83203125" style="979" customWidth="1"/>
    <col min="2" max="2" width="14.33203125" style="979" customWidth="1"/>
    <col min="3" max="3" width="14.1640625" style="979" customWidth="1"/>
    <col min="4" max="4" width="16" style="979" customWidth="1"/>
    <col min="5" max="5" width="14.5" style="979" customWidth="1"/>
    <col min="6" max="6" width="15.5" style="979" customWidth="1"/>
    <col min="7" max="8" width="15.33203125" style="979" customWidth="1"/>
    <col min="9" max="9" width="14.6640625" style="979" customWidth="1"/>
    <col min="10" max="10" width="14.83203125" style="979" customWidth="1"/>
    <col min="11" max="11" width="16.83203125" style="979" customWidth="1"/>
    <col min="12" max="12" width="14.33203125" style="979" customWidth="1"/>
    <col min="13" max="13" width="14.83203125" style="979" customWidth="1"/>
    <col min="14" max="14" width="14.33203125" style="979" customWidth="1"/>
    <col min="15" max="15" width="17.6640625" style="979" customWidth="1"/>
    <col min="16" max="16" width="13.5" style="979" customWidth="1"/>
    <col min="17" max="17" width="15.6640625" style="979" customWidth="1"/>
    <col min="18" max="18" width="20.1640625" style="979" customWidth="1"/>
    <col min="19" max="16384" width="9.33203125" style="979"/>
  </cols>
  <sheetData>
    <row r="1" spans="1:18" ht="20.25">
      <c r="A1" s="1860" t="s">
        <v>1512</v>
      </c>
      <c r="B1" s="1860"/>
      <c r="C1" s="1860"/>
      <c r="D1" s="1860"/>
      <c r="E1" s="1860"/>
      <c r="F1" s="1860"/>
      <c r="G1" s="1860"/>
      <c r="H1" s="1860"/>
      <c r="I1" s="1860"/>
      <c r="J1" s="1860"/>
      <c r="K1" s="1860"/>
      <c r="L1" s="1860"/>
      <c r="M1" s="1860"/>
      <c r="N1" s="1860"/>
      <c r="O1" s="1860"/>
      <c r="P1" s="987"/>
      <c r="Q1" s="987"/>
      <c r="R1" s="987"/>
    </row>
    <row r="2" spans="1:18" ht="20.25">
      <c r="A2" s="1860" t="s">
        <v>1387</v>
      </c>
      <c r="B2" s="1860"/>
      <c r="C2" s="1860"/>
      <c r="D2" s="1860"/>
      <c r="E2" s="1860"/>
      <c r="F2" s="1860"/>
      <c r="G2" s="1860"/>
      <c r="H2" s="1860"/>
      <c r="I2" s="1860"/>
      <c r="J2" s="1860"/>
      <c r="K2" s="1860"/>
      <c r="L2" s="1860"/>
      <c r="M2" s="1860"/>
      <c r="N2" s="1860"/>
      <c r="O2" s="1860"/>
      <c r="P2" s="987"/>
      <c r="Q2" s="987"/>
      <c r="R2" s="987"/>
    </row>
    <row r="3" spans="1:18" ht="15.75" thickBot="1">
      <c r="K3" s="988"/>
      <c r="O3" s="988" t="s">
        <v>194</v>
      </c>
    </row>
    <row r="4" spans="1:18" ht="67.5" customHeight="1">
      <c r="A4" s="1882" t="s">
        <v>1509</v>
      </c>
      <c r="B4" s="1890" t="s">
        <v>1457</v>
      </c>
      <c r="C4" s="1877"/>
      <c r="D4" s="1891"/>
      <c r="E4" s="1890" t="s">
        <v>1458</v>
      </c>
      <c r="F4" s="1877"/>
      <c r="G4" s="1891"/>
      <c r="H4" s="1890" t="s">
        <v>1392</v>
      </c>
      <c r="I4" s="1877"/>
      <c r="J4" s="1891"/>
      <c r="K4" s="1885" t="s">
        <v>1797</v>
      </c>
      <c r="L4" s="1888" t="s">
        <v>1648</v>
      </c>
      <c r="M4" s="1888"/>
      <c r="N4" s="1888"/>
      <c r="O4" s="1889"/>
      <c r="P4" s="988"/>
      <c r="Q4" s="988"/>
      <c r="R4" s="988"/>
    </row>
    <row r="5" spans="1:18" ht="26.25" customHeight="1">
      <c r="A5" s="1883"/>
      <c r="B5" s="1892"/>
      <c r="C5" s="1879"/>
      <c r="D5" s="1893"/>
      <c r="E5" s="1892"/>
      <c r="F5" s="1879"/>
      <c r="G5" s="1893"/>
      <c r="H5" s="1892"/>
      <c r="I5" s="1879"/>
      <c r="J5" s="1893"/>
      <c r="K5" s="1886"/>
      <c r="L5" s="1894" t="s">
        <v>200</v>
      </c>
      <c r="M5" s="1895"/>
      <c r="N5" s="1895"/>
      <c r="O5" s="1896"/>
      <c r="P5" s="988"/>
      <c r="Q5" s="988"/>
      <c r="R5" s="988"/>
    </row>
    <row r="6" spans="1:18" ht="36" customHeight="1" thickBot="1">
      <c r="A6" s="1884"/>
      <c r="B6" s="1034" t="s">
        <v>1795</v>
      </c>
      <c r="C6" s="1035" t="s">
        <v>1796</v>
      </c>
      <c r="D6" s="1035" t="s">
        <v>264</v>
      </c>
      <c r="E6" s="1034" t="s">
        <v>1795</v>
      </c>
      <c r="F6" s="1035" t="s">
        <v>1796</v>
      </c>
      <c r="G6" s="1035" t="s">
        <v>264</v>
      </c>
      <c r="H6" s="1034" t="s">
        <v>1795</v>
      </c>
      <c r="I6" s="1035" t="s">
        <v>1796</v>
      </c>
      <c r="J6" s="1035" t="s">
        <v>264</v>
      </c>
      <c r="K6" s="1887"/>
      <c r="L6" s="1033" t="s">
        <v>1795</v>
      </c>
      <c r="M6" s="1033" t="s">
        <v>1796</v>
      </c>
      <c r="N6" s="1033" t="s">
        <v>264</v>
      </c>
      <c r="O6" s="989" t="s">
        <v>1463</v>
      </c>
    </row>
    <row r="7" spans="1:18" ht="20.25" customHeight="1">
      <c r="A7" s="990" t="s">
        <v>1658</v>
      </c>
      <c r="B7" s="991">
        <v>9185</v>
      </c>
      <c r="C7" s="991">
        <v>9185</v>
      </c>
      <c r="D7" s="991">
        <v>9185</v>
      </c>
      <c r="E7" s="991">
        <v>9185</v>
      </c>
      <c r="F7" s="991">
        <v>9185</v>
      </c>
      <c r="G7" s="1031">
        <f>SUM(D7)</f>
        <v>9185</v>
      </c>
      <c r="H7" s="991">
        <v>464</v>
      </c>
      <c r="I7" s="991">
        <v>464</v>
      </c>
      <c r="J7" s="991">
        <v>464</v>
      </c>
      <c r="K7" s="991"/>
      <c r="L7" s="1163">
        <f>SUM(E7-H7-K7)</f>
        <v>8721</v>
      </c>
      <c r="M7" s="1163">
        <f>SUM(F7-I7-K7)</f>
        <v>8721</v>
      </c>
      <c r="N7" s="1163">
        <f>SUM(G7-J7-K7)</f>
        <v>8721</v>
      </c>
      <c r="O7" s="1163"/>
    </row>
    <row r="8" spans="1:18" ht="20.25" customHeight="1">
      <c r="A8" s="992" t="s">
        <v>1659</v>
      </c>
      <c r="B8" s="991">
        <v>9185</v>
      </c>
      <c r="C8" s="991">
        <v>9185</v>
      </c>
      <c r="D8" s="991">
        <v>9185</v>
      </c>
      <c r="E8" s="991">
        <v>9185</v>
      </c>
      <c r="F8" s="991">
        <v>9185</v>
      </c>
      <c r="G8" s="1031">
        <f t="shared" ref="G8:G14" si="0">SUM(D8)</f>
        <v>9185</v>
      </c>
      <c r="H8" s="991">
        <v>464</v>
      </c>
      <c r="I8" s="991">
        <v>464</v>
      </c>
      <c r="J8" s="991">
        <v>464</v>
      </c>
      <c r="K8" s="991"/>
      <c r="L8" s="1163">
        <f t="shared" ref="L8:L14" si="1">SUM(E8-H8-K8)</f>
        <v>8721</v>
      </c>
      <c r="M8" s="1163">
        <f t="shared" ref="M8:M14" si="2">SUM(F8-I8-K8)</f>
        <v>8721</v>
      </c>
      <c r="N8" s="1163">
        <f t="shared" ref="N8:N14" si="3">SUM(G8-J8-K8)</f>
        <v>8721</v>
      </c>
      <c r="O8" s="1163"/>
    </row>
    <row r="9" spans="1:18" ht="20.25" customHeight="1">
      <c r="A9" s="992" t="s">
        <v>1660</v>
      </c>
      <c r="B9" s="991">
        <v>8523</v>
      </c>
      <c r="C9" s="991">
        <v>8523</v>
      </c>
      <c r="D9" s="991">
        <v>8523</v>
      </c>
      <c r="E9" s="991">
        <v>8523</v>
      </c>
      <c r="F9" s="991">
        <v>8523</v>
      </c>
      <c r="G9" s="1031">
        <f t="shared" si="0"/>
        <v>8523</v>
      </c>
      <c r="H9" s="991">
        <v>464</v>
      </c>
      <c r="I9" s="991">
        <v>464</v>
      </c>
      <c r="J9" s="991">
        <v>464</v>
      </c>
      <c r="K9" s="991"/>
      <c r="L9" s="1163">
        <f t="shared" si="1"/>
        <v>8059</v>
      </c>
      <c r="M9" s="1163">
        <f t="shared" si="2"/>
        <v>8059</v>
      </c>
      <c r="N9" s="1163">
        <f t="shared" si="3"/>
        <v>8059</v>
      </c>
      <c r="O9" s="1163"/>
    </row>
    <row r="10" spans="1:18" ht="20.25" customHeight="1">
      <c r="A10" s="992" t="s">
        <v>1661</v>
      </c>
      <c r="B10" s="991">
        <v>10602</v>
      </c>
      <c r="C10" s="991">
        <v>10602</v>
      </c>
      <c r="D10" s="991">
        <v>10602</v>
      </c>
      <c r="E10" s="991">
        <v>10602</v>
      </c>
      <c r="F10" s="991">
        <v>10602</v>
      </c>
      <c r="G10" s="1031">
        <f t="shared" si="0"/>
        <v>10602</v>
      </c>
      <c r="H10" s="991">
        <v>464</v>
      </c>
      <c r="I10" s="991">
        <v>464</v>
      </c>
      <c r="J10" s="991">
        <v>464</v>
      </c>
      <c r="K10" s="991"/>
      <c r="L10" s="1163">
        <f t="shared" si="1"/>
        <v>10138</v>
      </c>
      <c r="M10" s="1163">
        <f t="shared" si="2"/>
        <v>10138</v>
      </c>
      <c r="N10" s="1163">
        <f t="shared" si="3"/>
        <v>10138</v>
      </c>
      <c r="O10" s="1163"/>
    </row>
    <row r="11" spans="1:18" ht="20.25" customHeight="1">
      <c r="A11" s="992" t="s">
        <v>1662</v>
      </c>
      <c r="B11" s="991">
        <v>11198</v>
      </c>
      <c r="C11" s="991">
        <v>11198</v>
      </c>
      <c r="D11" s="991">
        <v>11198</v>
      </c>
      <c r="E11" s="991">
        <v>11198</v>
      </c>
      <c r="F11" s="991">
        <v>11198</v>
      </c>
      <c r="G11" s="1031">
        <f t="shared" si="0"/>
        <v>11198</v>
      </c>
      <c r="H11" s="991">
        <v>464</v>
      </c>
      <c r="I11" s="991">
        <v>464</v>
      </c>
      <c r="J11" s="991">
        <v>464</v>
      </c>
      <c r="K11" s="991"/>
      <c r="L11" s="1163">
        <f t="shared" si="1"/>
        <v>10734</v>
      </c>
      <c r="M11" s="1163">
        <f t="shared" si="2"/>
        <v>10734</v>
      </c>
      <c r="N11" s="1163">
        <f t="shared" si="3"/>
        <v>10734</v>
      </c>
      <c r="O11" s="1163"/>
    </row>
    <row r="12" spans="1:18" s="1245" customFormat="1" ht="20.25" customHeight="1">
      <c r="A12" s="1242" t="s">
        <v>1663</v>
      </c>
      <c r="B12" s="1243">
        <v>47995</v>
      </c>
      <c r="C12" s="1244">
        <v>104580</v>
      </c>
      <c r="D12" s="1244">
        <v>102575</v>
      </c>
      <c r="E12" s="1243">
        <v>47995</v>
      </c>
      <c r="F12" s="1244">
        <f>SUM(C12)</f>
        <v>104580</v>
      </c>
      <c r="G12" s="1244">
        <f t="shared" si="0"/>
        <v>102575</v>
      </c>
      <c r="H12" s="1243">
        <v>20996</v>
      </c>
      <c r="I12" s="1244">
        <f>SUM(C12-B12+H12)</f>
        <v>77581</v>
      </c>
      <c r="J12" s="1244">
        <f>SUM(D12-C12+I12)</f>
        <v>75576</v>
      </c>
      <c r="K12" s="1243"/>
      <c r="L12" s="1163">
        <f t="shared" si="1"/>
        <v>26999</v>
      </c>
      <c r="M12" s="1163">
        <f t="shared" si="2"/>
        <v>26999</v>
      </c>
      <c r="N12" s="1163">
        <f t="shared" si="3"/>
        <v>26999</v>
      </c>
      <c r="O12" s="1163"/>
    </row>
    <row r="13" spans="1:18" ht="20.25" customHeight="1">
      <c r="A13" s="992" t="s">
        <v>1664</v>
      </c>
      <c r="B13" s="991">
        <v>5583</v>
      </c>
      <c r="C13" s="991">
        <v>5583</v>
      </c>
      <c r="D13" s="991">
        <v>5583</v>
      </c>
      <c r="E13" s="991">
        <v>5583</v>
      </c>
      <c r="F13" s="991">
        <v>5583</v>
      </c>
      <c r="G13" s="1031">
        <f t="shared" si="0"/>
        <v>5583</v>
      </c>
      <c r="H13" s="991">
        <v>232</v>
      </c>
      <c r="I13" s="991">
        <v>232</v>
      </c>
      <c r="J13" s="991">
        <v>232</v>
      </c>
      <c r="K13" s="991"/>
      <c r="L13" s="1163">
        <f t="shared" si="1"/>
        <v>5351</v>
      </c>
      <c r="M13" s="1163">
        <f t="shared" si="2"/>
        <v>5351</v>
      </c>
      <c r="N13" s="1163">
        <f t="shared" si="3"/>
        <v>5351</v>
      </c>
      <c r="O13" s="1163"/>
    </row>
    <row r="14" spans="1:18" ht="20.25" customHeight="1">
      <c r="A14" s="992" t="s">
        <v>1665</v>
      </c>
      <c r="B14" s="991">
        <v>45845</v>
      </c>
      <c r="C14" s="991">
        <v>45845</v>
      </c>
      <c r="D14" s="991">
        <v>45845</v>
      </c>
      <c r="E14" s="991">
        <v>45845</v>
      </c>
      <c r="F14" s="991">
        <v>45845</v>
      </c>
      <c r="G14" s="1031">
        <f t="shared" si="0"/>
        <v>45845</v>
      </c>
      <c r="H14" s="991">
        <v>2320</v>
      </c>
      <c r="I14" s="991">
        <v>2320</v>
      </c>
      <c r="J14" s="991">
        <v>2320</v>
      </c>
      <c r="K14" s="991"/>
      <c r="L14" s="1163">
        <f t="shared" si="1"/>
        <v>43525</v>
      </c>
      <c r="M14" s="1163">
        <f t="shared" si="2"/>
        <v>43525</v>
      </c>
      <c r="N14" s="1163">
        <f t="shared" si="3"/>
        <v>43525</v>
      </c>
      <c r="O14" s="1163"/>
    </row>
    <row r="15" spans="1:18" ht="20.25" customHeight="1" thickBot="1">
      <c r="A15" s="993"/>
      <c r="B15" s="994"/>
      <c r="C15" s="1032"/>
      <c r="D15" s="1032"/>
      <c r="E15" s="994"/>
      <c r="F15" s="1032"/>
      <c r="G15" s="1032"/>
      <c r="H15" s="994"/>
      <c r="I15" s="1032"/>
      <c r="J15" s="1032"/>
      <c r="K15" s="994"/>
      <c r="L15" s="1164"/>
      <c r="M15" s="1165"/>
      <c r="N15" s="1165"/>
      <c r="O15" s="1166"/>
    </row>
    <row r="16" spans="1:18" s="997" customFormat="1" ht="20.25" customHeight="1" thickTop="1" thickBot="1">
      <c r="A16" s="995" t="s">
        <v>1181</v>
      </c>
      <c r="B16" s="996">
        <f>SUM(B7:B15)</f>
        <v>148116</v>
      </c>
      <c r="C16" s="996">
        <f t="shared" ref="C16:D16" si="4">SUM(C7:C15)</f>
        <v>204701</v>
      </c>
      <c r="D16" s="996">
        <f t="shared" si="4"/>
        <v>202696</v>
      </c>
      <c r="E16" s="996">
        <f t="shared" ref="E16:O16" si="5">SUM(E7:E15)</f>
        <v>148116</v>
      </c>
      <c r="F16" s="996">
        <f t="shared" si="5"/>
        <v>204701</v>
      </c>
      <c r="G16" s="996">
        <f t="shared" si="5"/>
        <v>202696</v>
      </c>
      <c r="H16" s="996">
        <f t="shared" si="5"/>
        <v>25868</v>
      </c>
      <c r="I16" s="996">
        <f t="shared" si="5"/>
        <v>82453</v>
      </c>
      <c r="J16" s="996">
        <f t="shared" si="5"/>
        <v>80448</v>
      </c>
      <c r="K16" s="996">
        <f t="shared" si="5"/>
        <v>0</v>
      </c>
      <c r="L16" s="1167">
        <f t="shared" si="5"/>
        <v>122248</v>
      </c>
      <c r="M16" s="1167">
        <f t="shared" si="5"/>
        <v>122248</v>
      </c>
      <c r="N16" s="1167">
        <f t="shared" si="5"/>
        <v>122248</v>
      </c>
      <c r="O16" s="1168">
        <f t="shared" si="5"/>
        <v>0</v>
      </c>
    </row>
    <row r="17" spans="1:11" ht="20.25" customHeight="1" thickTop="1">
      <c r="A17" s="998"/>
      <c r="B17" s="998"/>
      <c r="C17" s="998"/>
      <c r="D17" s="998"/>
      <c r="E17" s="998"/>
      <c r="F17" s="998"/>
      <c r="G17" s="998"/>
      <c r="H17" s="998"/>
      <c r="I17" s="998"/>
      <c r="J17" s="998"/>
      <c r="K17" s="998"/>
    </row>
    <row r="18" spans="1:11" ht="15" customHeight="1">
      <c r="A18" s="1881" t="s">
        <v>1510</v>
      </c>
      <c r="B18" s="1881"/>
      <c r="C18" s="1881"/>
      <c r="D18" s="1881"/>
      <c r="E18" s="1881"/>
      <c r="F18" s="1881"/>
      <c r="G18" s="1881"/>
      <c r="H18" s="1881"/>
      <c r="I18" s="1881"/>
      <c r="J18" s="1881"/>
      <c r="K18" s="1881"/>
    </row>
    <row r="19" spans="1:11" ht="15" customHeight="1">
      <c r="A19" s="1881"/>
      <c r="B19" s="1881"/>
      <c r="C19" s="1881"/>
      <c r="D19" s="1881"/>
      <c r="E19" s="1881"/>
      <c r="F19" s="1881"/>
      <c r="G19" s="1881"/>
      <c r="H19" s="1881"/>
      <c r="I19" s="1881"/>
      <c r="J19" s="1881"/>
      <c r="K19" s="1881"/>
    </row>
    <row r="20" spans="1:11" ht="15" customHeight="1">
      <c r="A20" s="1881"/>
      <c r="B20" s="1881"/>
      <c r="C20" s="1881"/>
      <c r="D20" s="1881"/>
      <c r="E20" s="1881"/>
      <c r="F20" s="1881"/>
      <c r="G20" s="1881"/>
      <c r="H20" s="1881"/>
      <c r="I20" s="1881"/>
      <c r="J20" s="1881"/>
      <c r="K20" s="1881"/>
    </row>
    <row r="21" spans="1:11" ht="15" customHeight="1">
      <c r="A21" s="1881"/>
      <c r="B21" s="1881"/>
      <c r="C21" s="1881"/>
      <c r="D21" s="1881"/>
      <c r="E21" s="1881"/>
      <c r="F21" s="1881"/>
      <c r="G21" s="1881"/>
      <c r="H21" s="1881"/>
      <c r="I21" s="1881"/>
      <c r="J21" s="1881"/>
      <c r="K21" s="1881"/>
    </row>
    <row r="22" spans="1:11" ht="15" customHeight="1">
      <c r="A22" s="1881"/>
      <c r="B22" s="1881"/>
      <c r="C22" s="1881"/>
      <c r="D22" s="1881"/>
      <c r="E22" s="1881"/>
      <c r="F22" s="1881"/>
      <c r="G22" s="1881"/>
      <c r="H22" s="1881"/>
      <c r="I22" s="1881"/>
      <c r="J22" s="1881"/>
      <c r="K22" s="1881"/>
    </row>
    <row r="23" spans="1:11" ht="15" customHeight="1">
      <c r="A23" s="1881"/>
      <c r="B23" s="1881"/>
      <c r="C23" s="1881"/>
      <c r="D23" s="1881"/>
      <c r="E23" s="1881"/>
      <c r="F23" s="1881"/>
      <c r="G23" s="1881"/>
      <c r="H23" s="1881"/>
      <c r="I23" s="1881"/>
      <c r="J23" s="1881"/>
      <c r="K23" s="1881"/>
    </row>
    <row r="24" spans="1:11" ht="15" customHeight="1">
      <c r="A24" s="1881"/>
      <c r="B24" s="1881"/>
      <c r="C24" s="1881"/>
      <c r="D24" s="1881"/>
      <c r="E24" s="1881"/>
      <c r="F24" s="1881"/>
      <c r="G24" s="1881"/>
      <c r="H24" s="1881"/>
      <c r="I24" s="1881"/>
      <c r="J24" s="1881"/>
      <c r="K24" s="1881"/>
    </row>
    <row r="25" spans="1:11" ht="15" customHeight="1">
      <c r="A25" s="1881"/>
      <c r="B25" s="1881"/>
      <c r="C25" s="1881"/>
      <c r="D25" s="1881"/>
      <c r="E25" s="1881"/>
      <c r="F25" s="1881"/>
      <c r="G25" s="1881"/>
      <c r="H25" s="1881"/>
      <c r="I25" s="1881"/>
      <c r="J25" s="1881"/>
      <c r="K25" s="1881"/>
    </row>
    <row r="26" spans="1:11" ht="15" customHeight="1">
      <c r="A26" s="1881"/>
      <c r="B26" s="1881"/>
      <c r="C26" s="1881"/>
      <c r="D26" s="1881"/>
      <c r="E26" s="1881"/>
      <c r="F26" s="1881"/>
      <c r="G26" s="1881"/>
      <c r="H26" s="1881"/>
      <c r="I26" s="1881"/>
      <c r="J26" s="1881"/>
      <c r="K26" s="1881"/>
    </row>
    <row r="27" spans="1:11" ht="15" customHeight="1">
      <c r="A27" s="1881"/>
      <c r="B27" s="1881"/>
      <c r="C27" s="1881"/>
      <c r="D27" s="1881"/>
      <c r="E27" s="1881"/>
      <c r="F27" s="1881"/>
      <c r="G27" s="1881"/>
      <c r="H27" s="1881"/>
      <c r="I27" s="1881"/>
      <c r="J27" s="1881"/>
      <c r="K27" s="1881"/>
    </row>
    <row r="28" spans="1:11" ht="15" customHeight="1">
      <c r="A28" s="1881"/>
      <c r="B28" s="1881"/>
      <c r="C28" s="1881"/>
      <c r="D28" s="1881"/>
      <c r="E28" s="1881"/>
      <c r="F28" s="1881"/>
      <c r="G28" s="1881"/>
      <c r="H28" s="1881"/>
      <c r="I28" s="1881"/>
      <c r="J28" s="1881"/>
      <c r="K28" s="1881"/>
    </row>
    <row r="29" spans="1:11" ht="15" customHeight="1">
      <c r="A29" s="1881"/>
      <c r="B29" s="1881"/>
      <c r="C29" s="1881"/>
      <c r="D29" s="1881"/>
      <c r="E29" s="1881"/>
      <c r="F29" s="1881"/>
      <c r="G29" s="1881"/>
      <c r="H29" s="1881"/>
      <c r="I29" s="1881"/>
      <c r="J29" s="1881"/>
      <c r="K29" s="1881"/>
    </row>
    <row r="30" spans="1:11" ht="15" customHeight="1">
      <c r="A30" s="1881"/>
      <c r="B30" s="1881"/>
      <c r="C30" s="1881"/>
      <c r="D30" s="1881"/>
      <c r="E30" s="1881"/>
      <c r="F30" s="1881"/>
      <c r="G30" s="1881"/>
      <c r="H30" s="1881"/>
      <c r="I30" s="1881"/>
      <c r="J30" s="1881"/>
      <c r="K30" s="1881"/>
    </row>
    <row r="31" spans="1:11" ht="15" customHeight="1">
      <c r="A31" s="1881"/>
      <c r="B31" s="1881"/>
      <c r="C31" s="1881"/>
      <c r="D31" s="1881"/>
      <c r="E31" s="1881"/>
      <c r="F31" s="1881"/>
      <c r="G31" s="1881"/>
      <c r="H31" s="1881"/>
      <c r="I31" s="1881"/>
      <c r="J31" s="1881"/>
      <c r="K31" s="1881"/>
    </row>
    <row r="32" spans="1:11">
      <c r="A32" s="1881"/>
      <c r="B32" s="1881"/>
      <c r="C32" s="1881"/>
      <c r="D32" s="1881"/>
      <c r="E32" s="1881"/>
      <c r="F32" s="1881"/>
      <c r="G32" s="1881"/>
      <c r="H32" s="1881"/>
      <c r="I32" s="1881"/>
      <c r="J32" s="1881"/>
      <c r="K32" s="1881"/>
    </row>
    <row r="33" spans="1:11">
      <c r="A33" s="1881"/>
      <c r="B33" s="1881"/>
      <c r="C33" s="1881"/>
      <c r="D33" s="1881"/>
      <c r="E33" s="1881"/>
      <c r="F33" s="1881"/>
      <c r="G33" s="1881"/>
      <c r="H33" s="1881"/>
      <c r="I33" s="1881"/>
      <c r="J33" s="1881"/>
      <c r="K33" s="1881"/>
    </row>
    <row r="34" spans="1:11">
      <c r="A34" s="1881"/>
      <c r="B34" s="1881"/>
      <c r="C34" s="1881"/>
      <c r="D34" s="1881"/>
      <c r="E34" s="1881"/>
      <c r="F34" s="1881"/>
      <c r="G34" s="1881"/>
      <c r="H34" s="1881"/>
      <c r="I34" s="1881"/>
      <c r="J34" s="1881"/>
      <c r="K34" s="1881"/>
    </row>
    <row r="35" spans="1:11">
      <c r="A35" s="1881"/>
      <c r="B35" s="1881"/>
      <c r="C35" s="1881"/>
      <c r="D35" s="1881"/>
      <c r="E35" s="1881"/>
      <c r="F35" s="1881"/>
      <c r="G35" s="1881"/>
      <c r="H35" s="1881"/>
      <c r="I35" s="1881"/>
      <c r="J35" s="1881"/>
      <c r="K35" s="1881"/>
    </row>
  </sheetData>
  <mergeCells count="10">
    <mergeCell ref="A18:K35"/>
    <mergeCell ref="A1:O1"/>
    <mergeCell ref="A2:O2"/>
    <mergeCell ref="A4:A6"/>
    <mergeCell ref="K4:K6"/>
    <mergeCell ref="L4:O4"/>
    <mergeCell ref="B4:D5"/>
    <mergeCell ref="E4:G5"/>
    <mergeCell ref="H4:J5"/>
    <mergeCell ref="L5:O5"/>
  </mergeCells>
  <printOptions horizontalCentered="1"/>
  <pageMargins left="0.19685039370078741" right="0.19685039370078741" top="0.74803149606299213" bottom="0.74803149606299213" header="0.31496062992125984" footer="0.31496062992125984"/>
  <pageSetup paperSize="8" scale="95" firstPageNumber="36" orientation="landscape" r:id="rId1"/>
  <headerFooter>
    <oddHeader>&amp;R&amp;12 1.5. számú melléklet</oddHeader>
    <oddFooter>&amp;C&amp;12-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view="pageBreakPreview" topLeftCell="A10" zoomScaleSheetLayoutView="100" workbookViewId="0">
      <selection activeCell="I36" sqref="I36"/>
    </sheetView>
  </sheetViews>
  <sheetFormatPr defaultRowHeight="12.75"/>
  <cols>
    <col min="1" max="1" width="5.5" style="151" customWidth="1"/>
    <col min="2" max="2" width="12" style="152" customWidth="1"/>
    <col min="3" max="3" width="65.1640625" style="152" customWidth="1"/>
    <col min="4" max="4" width="14.1640625" style="152" customWidth="1"/>
    <col min="5" max="5" width="14.33203125" style="152" bestFit="1" customWidth="1"/>
    <col min="6" max="6" width="13.83203125" style="152" customWidth="1"/>
    <col min="7" max="7" width="10.5" style="152" customWidth="1"/>
    <col min="8" max="8" width="10.33203125" style="152" customWidth="1"/>
    <col min="9" max="9" width="13" style="152" customWidth="1"/>
    <col min="10" max="10" width="14.5" style="152" bestFit="1" customWidth="1"/>
    <col min="11" max="11" width="14.5" style="152" customWidth="1"/>
    <col min="12" max="12" width="13.6640625" style="152" customWidth="1"/>
    <col min="13" max="13" width="9.33203125" style="152" customWidth="1"/>
    <col min="14" max="14" width="14.1640625" style="152" customWidth="1"/>
    <col min="15" max="15" width="13.6640625" style="152" customWidth="1"/>
    <col min="16" max="17" width="9.33203125" style="152"/>
    <col min="18" max="18" width="11.6640625" style="152" bestFit="1" customWidth="1"/>
    <col min="19" max="16384" width="9.33203125" style="152"/>
  </cols>
  <sheetData>
    <row r="1" spans="1:12" s="155" customFormat="1" ht="21.75" customHeight="1" thickBot="1">
      <c r="A1" s="1901" t="s">
        <v>256</v>
      </c>
      <c r="B1" s="1901"/>
      <c r="C1" s="153" t="s">
        <v>257</v>
      </c>
      <c r="D1" s="1902" t="s">
        <v>1387</v>
      </c>
      <c r="E1" s="1903"/>
      <c r="F1" s="1904"/>
      <c r="G1" s="1898"/>
    </row>
    <row r="2" spans="1:12" s="155" customFormat="1" ht="30" customHeight="1" thickBot="1">
      <c r="A2" s="1899" t="s">
        <v>258</v>
      </c>
      <c r="B2" s="1899"/>
      <c r="C2" s="156" t="s">
        <v>259</v>
      </c>
      <c r="D2" s="1905"/>
      <c r="E2" s="1906"/>
      <c r="F2" s="1907"/>
      <c r="G2" s="1898"/>
    </row>
    <row r="3" spans="1:12" s="159" customFormat="1" ht="15.95" customHeight="1" thickBot="1">
      <c r="A3" s="157"/>
      <c r="B3" s="157"/>
      <c r="C3" s="761"/>
      <c r="D3" s="1908" t="s">
        <v>194</v>
      </c>
      <c r="E3" s="1908"/>
      <c r="F3" s="1908"/>
      <c r="G3" s="1908"/>
    </row>
    <row r="4" spans="1:12" ht="45.75" customHeight="1" thickBot="1">
      <c r="A4" s="1900" t="s">
        <v>260</v>
      </c>
      <c r="B4" s="1900"/>
      <c r="C4" s="161" t="s">
        <v>261</v>
      </c>
      <c r="D4" s="162" t="s">
        <v>262</v>
      </c>
      <c r="E4" s="161" t="s">
        <v>263</v>
      </c>
      <c r="F4" s="745" t="s">
        <v>264</v>
      </c>
      <c r="G4" s="162" t="s">
        <v>2</v>
      </c>
    </row>
    <row r="5" spans="1:12" s="165" customFormat="1" ht="12.95" customHeight="1">
      <c r="A5" s="160">
        <v>1</v>
      </c>
      <c r="B5" s="163">
        <v>2</v>
      </c>
      <c r="C5" s="163">
        <v>3</v>
      </c>
      <c r="D5" s="164">
        <v>4</v>
      </c>
      <c r="E5" s="163">
        <v>5</v>
      </c>
      <c r="F5" s="746">
        <v>6</v>
      </c>
      <c r="G5" s="164">
        <v>7</v>
      </c>
    </row>
    <row r="6" spans="1:12" s="165" customFormat="1" ht="18" customHeight="1" thickBot="1">
      <c r="A6" s="166"/>
      <c r="B6" s="167"/>
      <c r="C6" s="168" t="s">
        <v>196</v>
      </c>
      <c r="D6" s="169"/>
      <c r="E6" s="747"/>
      <c r="F6" s="169"/>
      <c r="G6" s="169"/>
    </row>
    <row r="7" spans="1:12" s="165" customFormat="1" ht="15" customHeight="1" thickBot="1">
      <c r="A7" s="170" t="s">
        <v>4</v>
      </c>
      <c r="B7" s="171"/>
      <c r="C7" s="172" t="s">
        <v>265</v>
      </c>
      <c r="D7" s="111">
        <f>SUM(D8+D17)</f>
        <v>1940822</v>
      </c>
      <c r="E7" s="111">
        <f t="shared" ref="E7:F7" si="0">SUM(E8+E17)</f>
        <v>2091220</v>
      </c>
      <c r="F7" s="111">
        <f t="shared" si="0"/>
        <v>2216031</v>
      </c>
      <c r="G7" s="111">
        <f>F7/E7*100</f>
        <v>105.96833427377321</v>
      </c>
    </row>
    <row r="8" spans="1:12" s="173" customFormat="1" ht="15.75" thickBot="1">
      <c r="A8" s="170" t="s">
        <v>5</v>
      </c>
      <c r="B8" s="171"/>
      <c r="C8" s="172" t="s">
        <v>1212</v>
      </c>
      <c r="D8" s="111">
        <f>SUM(D9:D14)</f>
        <v>1625000</v>
      </c>
      <c r="E8" s="111">
        <f>SUM(E9:E16)</f>
        <v>1681447</v>
      </c>
      <c r="F8" s="111">
        <f>SUM(F9:F16)</f>
        <v>1801946</v>
      </c>
      <c r="G8" s="111">
        <f>F8/E8*100</f>
        <v>107.16638704639516</v>
      </c>
      <c r="J8" s="518">
        <f>SUM('3. sz. mell'!D8)</f>
        <v>1625000</v>
      </c>
      <c r="K8" s="518">
        <f>SUM('3. sz. mell'!E8)</f>
        <v>1681152</v>
      </c>
      <c r="L8" s="518">
        <f>SUM('3. sz. mell'!F8)</f>
        <v>1801651</v>
      </c>
    </row>
    <row r="9" spans="1:12" s="177" customFormat="1" ht="15" customHeight="1">
      <c r="A9" s="174"/>
      <c r="B9" s="175" t="s">
        <v>6</v>
      </c>
      <c r="C9" s="176" t="s">
        <v>7</v>
      </c>
      <c r="D9" s="102">
        <f>SUM('3. sz. mell'!D9)</f>
        <v>1515000</v>
      </c>
      <c r="E9" s="102">
        <f>SUM('3. sz. mell'!E9)</f>
        <v>1592031</v>
      </c>
      <c r="F9" s="102">
        <f>SUM('3. sz. mell'!F9)</f>
        <v>1700223</v>
      </c>
      <c r="G9" s="102">
        <f>F9/E9*100</f>
        <v>106.79584756829483</v>
      </c>
    </row>
    <row r="10" spans="1:12" s="177" customFormat="1" ht="15" customHeight="1">
      <c r="A10" s="174"/>
      <c r="B10" s="175" t="s">
        <v>8</v>
      </c>
      <c r="C10" s="176" t="s">
        <v>9</v>
      </c>
      <c r="D10" s="102">
        <f>SUM('3. sz. mell'!D10)</f>
        <v>0</v>
      </c>
      <c r="E10" s="102">
        <f>SUM('3. sz. mell'!E10)</f>
        <v>0</v>
      </c>
      <c r="F10" s="102">
        <f>SUM('3. sz. mell'!F10)</f>
        <v>0</v>
      </c>
      <c r="G10" s="102"/>
    </row>
    <row r="11" spans="1:12" s="177" customFormat="1" ht="15" customHeight="1">
      <c r="A11" s="174"/>
      <c r="B11" s="175" t="s">
        <v>10</v>
      </c>
      <c r="C11" s="176" t="s">
        <v>11</v>
      </c>
      <c r="D11" s="102">
        <f>SUM('3. sz. mell'!D11)</f>
        <v>100000</v>
      </c>
      <c r="E11" s="102">
        <f>SUM('3. sz. mell'!E11)</f>
        <v>79116</v>
      </c>
      <c r="F11" s="102">
        <f>SUM('3. sz. mell'!F11)</f>
        <v>79116</v>
      </c>
      <c r="G11" s="102">
        <f>F11/E11*100</f>
        <v>100</v>
      </c>
    </row>
    <row r="12" spans="1:12" s="177" customFormat="1" ht="15" customHeight="1">
      <c r="A12" s="174"/>
      <c r="B12" s="175" t="s">
        <v>12</v>
      </c>
      <c r="C12" s="176" t="s">
        <v>13</v>
      </c>
      <c r="D12" s="102">
        <f>SUM('3. sz. mell'!D12)</f>
        <v>10000</v>
      </c>
      <c r="E12" s="102">
        <f>SUM('3. sz. mell'!E12)+57</f>
        <v>10062</v>
      </c>
      <c r="F12" s="102">
        <f>SUM('3. sz. mell'!F12)+57</f>
        <v>21992</v>
      </c>
      <c r="G12" s="102">
        <f>F12/E12*100</f>
        <v>218.56489763466507</v>
      </c>
    </row>
    <row r="13" spans="1:12" s="177" customFormat="1" ht="15" customHeight="1">
      <c r="A13" s="174"/>
      <c r="B13" s="175" t="s">
        <v>14</v>
      </c>
      <c r="C13" s="176" t="s">
        <v>266</v>
      </c>
      <c r="D13" s="102">
        <f>SUM('3. sz. mell'!D13)</f>
        <v>0</v>
      </c>
      <c r="E13" s="102">
        <f>SUM('3. sz. mell'!E13)</f>
        <v>0</v>
      </c>
      <c r="F13" s="102">
        <f>SUM('3. sz. mell'!F13)</f>
        <v>0</v>
      </c>
      <c r="G13" s="102"/>
    </row>
    <row r="14" spans="1:12" s="177" customFormat="1" ht="15" customHeight="1">
      <c r="A14" s="174"/>
      <c r="B14" s="175" t="s">
        <v>16</v>
      </c>
      <c r="C14" s="176" t="s">
        <v>17</v>
      </c>
      <c r="D14" s="102">
        <f>SUM('3. sz. mell'!D14)</f>
        <v>0</v>
      </c>
      <c r="E14" s="102">
        <f>SUM('3. sz. mell'!E14)</f>
        <v>0</v>
      </c>
      <c r="F14" s="102">
        <f>SUM('3. sz. mell'!F14)</f>
        <v>0</v>
      </c>
      <c r="G14" s="102"/>
    </row>
    <row r="15" spans="1:12" s="177" customFormat="1" ht="15" customHeight="1">
      <c r="A15" s="178"/>
      <c r="B15" s="175" t="s">
        <v>18</v>
      </c>
      <c r="C15" s="179" t="s">
        <v>1899</v>
      </c>
      <c r="D15" s="180"/>
      <c r="E15" s="180">
        <f>'4. sz. mell.'!E23-57</f>
        <v>238</v>
      </c>
      <c r="F15" s="180">
        <f>'4. sz. mell.'!F23-57</f>
        <v>238</v>
      </c>
      <c r="G15" s="102"/>
    </row>
    <row r="16" spans="1:12" s="177" customFormat="1" ht="15" customHeight="1" thickBot="1">
      <c r="A16" s="174"/>
      <c r="B16" s="175" t="s">
        <v>494</v>
      </c>
      <c r="C16" s="176" t="s">
        <v>2028</v>
      </c>
      <c r="D16" s="102">
        <f>SUM('3. sz. mell'!D15+'4. sz. mell.'!D13)</f>
        <v>0</v>
      </c>
      <c r="E16" s="102">
        <f>SUM('3. sz. mell'!E15+'4. sz. mell.'!E13)</f>
        <v>0</v>
      </c>
      <c r="F16" s="102">
        <f>SUM('3. sz. mell'!F15+'4. sz. mell.'!F13)</f>
        <v>377</v>
      </c>
      <c r="G16" s="102" t="e">
        <f>F16/E16*100</f>
        <v>#DIV/0!</v>
      </c>
    </row>
    <row r="17" spans="1:12" s="173" customFormat="1" ht="15" customHeight="1" thickBot="1">
      <c r="A17" s="170" t="s">
        <v>19</v>
      </c>
      <c r="B17" s="171"/>
      <c r="C17" s="172" t="s">
        <v>20</v>
      </c>
      <c r="D17" s="111">
        <f>SUM(D18:D25)</f>
        <v>315822</v>
      </c>
      <c r="E17" s="111">
        <f t="shared" ref="E17:F17" si="1">SUM(E18:E25)</f>
        <v>409773</v>
      </c>
      <c r="F17" s="111">
        <f t="shared" si="1"/>
        <v>414085</v>
      </c>
      <c r="G17" s="111">
        <f>F17/E17*100</f>
        <v>101.05228992637387</v>
      </c>
      <c r="J17" s="518">
        <f>SUM('3. sz. mell'!D16+'4. sz. mell.'!D8+'5. sz. mell. '!D8)</f>
        <v>315822</v>
      </c>
      <c r="K17" s="518">
        <f>SUM('3. sz. mell'!E16+'4. sz. mell.'!E8+'5. sz. mell. '!E8)</f>
        <v>409773</v>
      </c>
      <c r="L17" s="518">
        <f>SUM('3. sz. mell'!F16+'4. sz. mell.'!F8+'5. sz. mell. '!F8)</f>
        <v>414085</v>
      </c>
    </row>
    <row r="18" spans="1:12" s="173" customFormat="1" ht="15" customHeight="1">
      <c r="A18" s="181"/>
      <c r="B18" s="175" t="s">
        <v>21</v>
      </c>
      <c r="C18" s="19" t="s">
        <v>22</v>
      </c>
      <c r="D18" s="182">
        <f>SUM('3. sz. mell'!D17+'4. sz. mell.'!D9+'5. sz. mell. '!D9)</f>
        <v>0</v>
      </c>
      <c r="E18" s="182">
        <f>SUM('3. sz. mell'!E17+'4. sz. mell.'!E9+'5. sz. mell. '!E9)</f>
        <v>0</v>
      </c>
      <c r="F18" s="182">
        <f>SUM('3. sz. mell'!F17+'4. sz. mell.'!F9+'5. sz. mell. '!F9)</f>
        <v>0</v>
      </c>
      <c r="G18" s="182"/>
    </row>
    <row r="19" spans="1:12" s="173" customFormat="1" ht="15" customHeight="1">
      <c r="A19" s="174"/>
      <c r="B19" s="175" t="s">
        <v>23</v>
      </c>
      <c r="C19" s="15" t="s">
        <v>24</v>
      </c>
      <c r="D19" s="102">
        <f>SUM('3. sz. mell'!D18+'4. sz. mell.'!D10+'5. sz. mell. '!D10)</f>
        <v>200360</v>
      </c>
      <c r="E19" s="102">
        <f>SUM('3. sz. mell'!E18+'4. sz. mell.'!E10+'5. sz. mell. '!E10)</f>
        <v>269549</v>
      </c>
      <c r="F19" s="102">
        <f>SUM('3. sz. mell'!F18+'4. sz. mell.'!F10+'5. sz. mell. '!F10)</f>
        <v>270452</v>
      </c>
      <c r="G19" s="102">
        <f t="shared" ref="G19:G25" si="2">F19/E19*100</f>
        <v>100.33500402524216</v>
      </c>
    </row>
    <row r="20" spans="1:12" s="173" customFormat="1" ht="15" customHeight="1">
      <c r="A20" s="174"/>
      <c r="B20" s="175" t="s">
        <v>25</v>
      </c>
      <c r="C20" s="15" t="s">
        <v>26</v>
      </c>
      <c r="D20" s="102">
        <f>SUM('3. sz. mell'!D19+'4. sz. mell.'!D11+'5. sz. mell. '!D11)</f>
        <v>55503</v>
      </c>
      <c r="E20" s="102">
        <f>SUM('3. sz. mell'!E19+'4. sz. mell.'!E11+'5. sz. mell. '!E11)</f>
        <v>54315</v>
      </c>
      <c r="F20" s="102">
        <f>SUM('3. sz. mell'!F19+'4. sz. mell.'!F11+'5. sz. mell. '!F11)</f>
        <v>54967</v>
      </c>
      <c r="G20" s="102">
        <f t="shared" si="2"/>
        <v>101.20040504464696</v>
      </c>
    </row>
    <row r="21" spans="1:12" s="173" customFormat="1" ht="15" customHeight="1">
      <c r="A21" s="174"/>
      <c r="B21" s="175" t="s">
        <v>27</v>
      </c>
      <c r="C21" s="15" t="s">
        <v>28</v>
      </c>
      <c r="D21" s="102">
        <f>SUM('3. sz. mell'!D20+'4. sz. mell.'!D12+'5. sz. mell. '!D12)</f>
        <v>2571</v>
      </c>
      <c r="E21" s="102">
        <f>SUM('3. sz. mell'!E20+'4. sz. mell.'!E12+'5. sz. mell. '!E12)</f>
        <v>1931</v>
      </c>
      <c r="F21" s="102">
        <f>SUM('3. sz. mell'!F20+'4. sz. mell.'!F12+'5. sz. mell. '!F12)</f>
        <v>1931</v>
      </c>
      <c r="G21" s="102">
        <f t="shared" si="2"/>
        <v>100</v>
      </c>
    </row>
    <row r="22" spans="1:12" s="173" customFormat="1" ht="15" customHeight="1">
      <c r="A22" s="174"/>
      <c r="B22" s="175" t="s">
        <v>29</v>
      </c>
      <c r="C22" s="22" t="s">
        <v>30</v>
      </c>
      <c r="D22" s="102">
        <f>SUM('3. sz. mell'!D21+'4. sz. mell.'!D13+'5. sz. mell. '!D13)</f>
        <v>907</v>
      </c>
      <c r="E22" s="102">
        <f>SUM('3. sz. mell'!E21+'4. sz. mell.'!E13+'5. sz. mell. '!E13)</f>
        <v>1142</v>
      </c>
      <c r="F22" s="102">
        <f>SUM('3. sz. mell'!F21+'4. sz. mell.'!F13+'5. sz. mell. '!F13)</f>
        <v>1142</v>
      </c>
      <c r="G22" s="102">
        <f t="shared" si="2"/>
        <v>100</v>
      </c>
    </row>
    <row r="23" spans="1:12" s="173" customFormat="1" ht="15" customHeight="1">
      <c r="A23" s="178"/>
      <c r="B23" s="175" t="s">
        <v>31</v>
      </c>
      <c r="C23" s="15" t="s">
        <v>32</v>
      </c>
      <c r="D23" s="102">
        <f>SUM('3. sz. mell'!D22+'4. sz. mell.'!D14+'5. sz. mell. '!D14)</f>
        <v>56481</v>
      </c>
      <c r="E23" s="102">
        <f>SUM('3. sz. mell'!E22+'4. sz. mell.'!E14+'5. sz. mell. '!E14)</f>
        <v>74978</v>
      </c>
      <c r="F23" s="102">
        <f>SUM('3. sz. mell'!F22+'4. sz. mell.'!F14+'5. sz. mell. '!F14)</f>
        <v>74978</v>
      </c>
      <c r="G23" s="102">
        <f t="shared" si="2"/>
        <v>100</v>
      </c>
    </row>
    <row r="24" spans="1:12" s="177" customFormat="1" ht="15" customHeight="1">
      <c r="A24" s="174"/>
      <c r="B24" s="175" t="s">
        <v>33</v>
      </c>
      <c r="C24" s="15" t="s">
        <v>34</v>
      </c>
      <c r="D24" s="102">
        <f>SUM('3. sz. mell'!D23+'4. sz. mell.'!D15+'5. sz. mell. '!D15)</f>
        <v>0</v>
      </c>
      <c r="E24" s="102">
        <f>SUM('3. sz. mell'!E23+'4. sz. mell.'!E15+'5. sz. mell. '!E15)</f>
        <v>986</v>
      </c>
      <c r="F24" s="102">
        <f>SUM('3. sz. mell'!F23+'4. sz. mell.'!F15+'5. sz. mell. '!F15)</f>
        <v>3743</v>
      </c>
      <c r="G24" s="102">
        <f t="shared" si="2"/>
        <v>379.61460446247463</v>
      </c>
    </row>
    <row r="25" spans="1:12" s="177" customFormat="1" ht="15" customHeight="1" thickBot="1">
      <c r="A25" s="183"/>
      <c r="B25" s="184" t="s">
        <v>35</v>
      </c>
      <c r="C25" s="22" t="s">
        <v>36</v>
      </c>
      <c r="D25" s="106">
        <f>SUM('3. sz. mell'!D24+'4. sz. mell.'!D16+'5. sz. mell. '!D16)</f>
        <v>0</v>
      </c>
      <c r="E25" s="106">
        <f>SUM('3. sz. mell'!E24+'4. sz. mell.'!E16+'5. sz. mell. '!E16)</f>
        <v>6872</v>
      </c>
      <c r="F25" s="106">
        <f>SUM('3. sz. mell'!F24+'4. sz. mell.'!F16+'5. sz. mell. '!F16)</f>
        <v>6872</v>
      </c>
      <c r="G25" s="106">
        <f t="shared" si="2"/>
        <v>100</v>
      </c>
    </row>
    <row r="26" spans="1:12" s="177" customFormat="1" ht="15" hidden="1" customHeight="1" thickBot="1">
      <c r="A26" s="170" t="s">
        <v>149</v>
      </c>
      <c r="B26" s="185"/>
      <c r="C26" s="172" t="s">
        <v>37</v>
      </c>
      <c r="D26" s="111">
        <f>SUM('3. sz. mell'!D25+'4. sz. mell.'!D23)</f>
        <v>0</v>
      </c>
      <c r="E26" s="111"/>
      <c r="F26" s="111"/>
      <c r="G26" s="111"/>
    </row>
    <row r="27" spans="1:12" s="177" customFormat="1" ht="15" customHeight="1" thickBot="1">
      <c r="A27" s="951" t="s">
        <v>149</v>
      </c>
      <c r="B27" s="12"/>
      <c r="C27" s="12" t="s">
        <v>1587</v>
      </c>
      <c r="D27" s="111">
        <f>SUM(D28+D37)</f>
        <v>604699</v>
      </c>
      <c r="E27" s="111">
        <f>SUM(E28+E37)</f>
        <v>489515</v>
      </c>
      <c r="F27" s="111">
        <f>SUM(F28+F37)</f>
        <v>489754</v>
      </c>
      <c r="G27" s="111">
        <f>F27/E27*100</f>
        <v>100.04882383583751</v>
      </c>
      <c r="J27" s="190">
        <f>SUM('3. sz. mell'!D36+'4. sz. mell.'!D17+'5. sz. mell. '!D17)-'5. sz. mell. '!D20</f>
        <v>659365</v>
      </c>
      <c r="K27" s="190">
        <f>SUM('3. sz. mell'!E36+'4. sz. mell.'!E17+'5. sz. mell. '!E17)-'5. sz. mell. '!E20</f>
        <v>608639</v>
      </c>
      <c r="L27" s="190">
        <f>SUM('3. sz. mell'!F36+'4. sz. mell.'!F17+'5. sz. mell. '!F17)-'5. sz. mell. '!F20</f>
        <v>609278</v>
      </c>
    </row>
    <row r="28" spans="1:12" s="962" customFormat="1" ht="15" customHeight="1">
      <c r="A28" s="958"/>
      <c r="B28" s="959" t="s">
        <v>279</v>
      </c>
      <c r="C28" s="960" t="s">
        <v>1588</v>
      </c>
      <c r="D28" s="961">
        <f>SUM(D29:D33)</f>
        <v>447504</v>
      </c>
      <c r="E28" s="961">
        <f>SUM(E29:E36)</f>
        <v>488573</v>
      </c>
      <c r="F28" s="961">
        <f>SUM(F29:F36)</f>
        <v>488812</v>
      </c>
      <c r="G28" s="961">
        <f>F28/E28*100</f>
        <v>100.04891797131647</v>
      </c>
    </row>
    <row r="29" spans="1:12" s="177" customFormat="1" ht="15" customHeight="1">
      <c r="A29" s="174"/>
      <c r="B29" s="189" t="s">
        <v>1575</v>
      </c>
      <c r="C29" s="32" t="s">
        <v>51</v>
      </c>
      <c r="D29" s="102">
        <f>SUM('5.11 sz. mell '!D18)</f>
        <v>442256</v>
      </c>
      <c r="E29" s="102">
        <f>SUM('5.11 sz. mell '!E18)</f>
        <v>420756</v>
      </c>
      <c r="F29" s="102">
        <f>SUM('5.11 sz. mell '!F18)</f>
        <v>415579</v>
      </c>
      <c r="G29" s="102">
        <f>F29/E29*100</f>
        <v>98.769595680156669</v>
      </c>
    </row>
    <row r="30" spans="1:12" s="177" customFormat="1" ht="15" customHeight="1">
      <c r="A30" s="174"/>
      <c r="B30" s="189" t="s">
        <v>1576</v>
      </c>
      <c r="C30" s="32" t="s">
        <v>53</v>
      </c>
      <c r="D30" s="102"/>
      <c r="E30" s="102">
        <f>'3. sz. mell'!E39+'5. sz. mell. '!E23</f>
        <v>15235</v>
      </c>
      <c r="F30" s="102">
        <f>'3. sz. mell'!F39+'5. sz. mell. '!F23</f>
        <v>17421</v>
      </c>
      <c r="G30" s="102"/>
    </row>
    <row r="31" spans="1:12" s="177" customFormat="1" ht="15" customHeight="1">
      <c r="A31" s="174"/>
      <c r="B31" s="189" t="s">
        <v>1577</v>
      </c>
      <c r="C31" s="32" t="s">
        <v>269</v>
      </c>
      <c r="D31" s="102">
        <f>SUM('3. sz. mell'!D40)</f>
        <v>0</v>
      </c>
      <c r="E31" s="102">
        <f>SUM('3. sz. mell'!E40)</f>
        <v>0</v>
      </c>
      <c r="F31" s="102">
        <f>SUM('3. sz. mell'!F40)</f>
        <v>3230</v>
      </c>
      <c r="G31" s="102" t="e">
        <f>F31/E31*100</f>
        <v>#DIV/0!</v>
      </c>
    </row>
    <row r="32" spans="1:12" s="177" customFormat="1" ht="15" customHeight="1">
      <c r="A32" s="174"/>
      <c r="B32" s="189" t="s">
        <v>1578</v>
      </c>
      <c r="C32" s="32" t="s">
        <v>57</v>
      </c>
      <c r="D32" s="102"/>
      <c r="E32" s="102">
        <f>'3. sz. mell'!E41</f>
        <v>176</v>
      </c>
      <c r="F32" s="102">
        <f>'3. sz. mell'!F41</f>
        <v>176</v>
      </c>
      <c r="G32" s="102"/>
    </row>
    <row r="33" spans="1:12" s="177" customFormat="1" ht="15" customHeight="1">
      <c r="A33" s="174"/>
      <c r="B33" s="189" t="s">
        <v>1579</v>
      </c>
      <c r="C33" s="32" t="s">
        <v>59</v>
      </c>
      <c r="D33" s="102">
        <f>SUM('5. sz. mell. '!D23)</f>
        <v>5248</v>
      </c>
      <c r="E33" s="102"/>
      <c r="F33" s="102"/>
      <c r="G33" s="102" t="e">
        <f>F33/E33*100</f>
        <v>#DIV/0!</v>
      </c>
    </row>
    <row r="34" spans="1:12" s="177" customFormat="1" ht="15" customHeight="1">
      <c r="A34" s="174"/>
      <c r="B34" s="189" t="s">
        <v>1580</v>
      </c>
      <c r="C34" s="32" t="s">
        <v>61</v>
      </c>
      <c r="D34" s="102"/>
      <c r="E34" s="102">
        <f>'3. sz. mell'!E43+'4. sz. mell.'!E21</f>
        <v>42885</v>
      </c>
      <c r="F34" s="102">
        <f>'3. sz. mell'!F43+'4. sz. mell.'!F21</f>
        <v>42885</v>
      </c>
      <c r="G34" s="102">
        <f>F34/E34*100</f>
        <v>100</v>
      </c>
    </row>
    <row r="35" spans="1:12" s="177" customFormat="1" ht="15" customHeight="1">
      <c r="A35" s="174"/>
      <c r="B35" s="189" t="s">
        <v>1581</v>
      </c>
      <c r="C35" s="32" t="s">
        <v>1619</v>
      </c>
      <c r="D35" s="102"/>
      <c r="E35" s="102">
        <f>'3. sz. mell'!E42</f>
        <v>50</v>
      </c>
      <c r="F35" s="102">
        <f>'3. sz. mell'!F42</f>
        <v>50</v>
      </c>
      <c r="G35" s="102">
        <f>F35/E35*100</f>
        <v>100</v>
      </c>
    </row>
    <row r="36" spans="1:12" s="177" customFormat="1" ht="15" customHeight="1">
      <c r="A36" s="174"/>
      <c r="B36" s="189" t="s">
        <v>2062</v>
      </c>
      <c r="C36" s="32" t="s">
        <v>2060</v>
      </c>
      <c r="D36" s="102"/>
      <c r="E36" s="102">
        <f>SUM('3. sz. mell'!E35)</f>
        <v>9471</v>
      </c>
      <c r="F36" s="102">
        <f>SUM('3. sz. mell'!F35)</f>
        <v>9471</v>
      </c>
      <c r="G36" s="102"/>
    </row>
    <row r="37" spans="1:12" s="962" customFormat="1" ht="15" customHeight="1">
      <c r="A37" s="963"/>
      <c r="B37" s="964" t="s">
        <v>1205</v>
      </c>
      <c r="C37" s="965" t="s">
        <v>1589</v>
      </c>
      <c r="D37" s="966">
        <f>SUM(D38:D42)</f>
        <v>157195</v>
      </c>
      <c r="E37" s="966">
        <f t="shared" ref="E37:F37" si="3">SUM(E38:E42)</f>
        <v>942</v>
      </c>
      <c r="F37" s="966">
        <f t="shared" si="3"/>
        <v>942</v>
      </c>
      <c r="G37" s="967">
        <f>F37/E37*100</f>
        <v>100</v>
      </c>
    </row>
    <row r="38" spans="1:12" s="177" customFormat="1" ht="15" customHeight="1">
      <c r="A38" s="174"/>
      <c r="B38" s="189" t="s">
        <v>1582</v>
      </c>
      <c r="C38" s="32" t="s">
        <v>51</v>
      </c>
      <c r="D38" s="102"/>
      <c r="E38" s="102"/>
      <c r="F38" s="102"/>
      <c r="G38" s="102"/>
    </row>
    <row r="39" spans="1:12" s="177" customFormat="1" ht="15" customHeight="1">
      <c r="A39" s="174"/>
      <c r="B39" s="189" t="s">
        <v>1583</v>
      </c>
      <c r="C39" s="32" t="s">
        <v>53</v>
      </c>
      <c r="D39" s="102"/>
      <c r="E39" s="102"/>
      <c r="F39" s="102"/>
      <c r="G39" s="102"/>
    </row>
    <row r="40" spans="1:12" s="177" customFormat="1" ht="30.75" customHeight="1">
      <c r="A40" s="174"/>
      <c r="B40" s="189" t="s">
        <v>1584</v>
      </c>
      <c r="C40" s="32" t="s">
        <v>55</v>
      </c>
      <c r="D40" s="102"/>
      <c r="E40" s="102"/>
      <c r="F40" s="102"/>
      <c r="G40" s="102"/>
    </row>
    <row r="41" spans="1:12" s="177" customFormat="1" ht="15" customHeight="1" thickBot="1">
      <c r="A41" s="174"/>
      <c r="B41" s="189" t="s">
        <v>1585</v>
      </c>
      <c r="C41" s="32" t="s">
        <v>57</v>
      </c>
      <c r="D41" s="187">
        <f>SUM('3. sz. mell'!D48)</f>
        <v>157195</v>
      </c>
      <c r="E41" s="187">
        <f>SUM('3. sz. mell'!E48)</f>
        <v>942</v>
      </c>
      <c r="F41" s="187">
        <f>SUM('3. sz. mell'!F48)</f>
        <v>942</v>
      </c>
      <c r="G41" s="102">
        <f>F41/E41*100</f>
        <v>100</v>
      </c>
      <c r="L41" s="190"/>
    </row>
    <row r="42" spans="1:12" s="177" customFormat="1" ht="15" customHeight="1" thickBot="1">
      <c r="A42" s="191"/>
      <c r="B42" s="189" t="s">
        <v>1586</v>
      </c>
      <c r="C42" s="34" t="s">
        <v>1620</v>
      </c>
      <c r="D42" s="187">
        <f>SUM('3. sz. mell'!D49)</f>
        <v>0</v>
      </c>
      <c r="E42" s="187">
        <f>SUM('3. sz. mell'!E49)</f>
        <v>0</v>
      </c>
      <c r="F42" s="187">
        <f>SUM('3. sz. mell'!F49)</f>
        <v>0</v>
      </c>
      <c r="G42" s="187"/>
      <c r="L42" s="190"/>
    </row>
    <row r="43" spans="1:12" s="177" customFormat="1" ht="33" customHeight="1" thickBot="1">
      <c r="A43" s="193" t="s">
        <v>38</v>
      </c>
      <c r="B43" s="189"/>
      <c r="C43" s="1132" t="s">
        <v>76</v>
      </c>
      <c r="D43" s="1133"/>
      <c r="E43" s="1133">
        <f>'3. sz. mell'!E56+'5. sz. mell. '!E31</f>
        <v>34548</v>
      </c>
      <c r="F43" s="1133">
        <f>'3. sz. mell'!F56+'5. sz. mell. '!F31</f>
        <v>34628</v>
      </c>
      <c r="G43" s="1133">
        <f>F43/E43*100</f>
        <v>100.23156188491373</v>
      </c>
      <c r="L43" s="190"/>
    </row>
    <row r="44" spans="1:12" ht="15" customHeight="1" thickBot="1">
      <c r="A44" s="1911" t="s">
        <v>1214</v>
      </c>
      <c r="B44" s="1912"/>
      <c r="C44" s="1913"/>
      <c r="D44" s="111">
        <f>D8+D17+D27+D43</f>
        <v>2545521</v>
      </c>
      <c r="E44" s="111">
        <f t="shared" ref="E44:F44" si="4">E8+E17+E27+E43</f>
        <v>2615283</v>
      </c>
      <c r="F44" s="111">
        <f t="shared" si="4"/>
        <v>2740413</v>
      </c>
      <c r="G44" s="111">
        <f>F44/E44*100</f>
        <v>104.78456824748986</v>
      </c>
    </row>
    <row r="45" spans="1:12" s="177" customFormat="1" ht="15" hidden="1" customHeight="1" thickBot="1">
      <c r="A45" s="1914" t="s">
        <v>1215</v>
      </c>
      <c r="B45" s="1915"/>
      <c r="C45" s="1916"/>
      <c r="D45" s="732"/>
      <c r="E45" s="732"/>
      <c r="F45" s="732"/>
      <c r="G45" s="732" t="e">
        <f>F45/E45*100</f>
        <v>#DIV/0!</v>
      </c>
      <c r="L45" s="190"/>
    </row>
    <row r="46" spans="1:12" s="173" customFormat="1" ht="15" customHeight="1" thickBot="1">
      <c r="A46" s="951" t="s">
        <v>48</v>
      </c>
      <c r="B46" s="171"/>
      <c r="C46" s="12" t="s">
        <v>1592</v>
      </c>
      <c r="D46" s="111">
        <f>SUM(D47:D50)</f>
        <v>200000</v>
      </c>
      <c r="E46" s="111">
        <f t="shared" ref="E46:F46" si="5">SUM(E47:E50)</f>
        <v>9150</v>
      </c>
      <c r="F46" s="111">
        <f t="shared" si="5"/>
        <v>55245</v>
      </c>
      <c r="G46" s="111">
        <f>F46/E46*100</f>
        <v>603.77049180327867</v>
      </c>
      <c r="L46" s="190"/>
    </row>
    <row r="47" spans="1:12" s="177" customFormat="1" ht="15" customHeight="1">
      <c r="A47" s="174"/>
      <c r="B47" s="189" t="s">
        <v>49</v>
      </c>
      <c r="C47" s="27" t="s">
        <v>70</v>
      </c>
      <c r="D47" s="102">
        <f>SUM('3. sz. mell'!D51)</f>
        <v>200000</v>
      </c>
      <c r="E47" s="102">
        <f>SUM('3. sz. mell'!E51+'4. sz. mell.'!E22)</f>
        <v>3014</v>
      </c>
      <c r="F47" s="102">
        <f>SUM('3. sz. mell'!F51+'4. sz. mell.'!F22)</f>
        <v>3014</v>
      </c>
      <c r="G47" s="102">
        <f>F47/E47*100</f>
        <v>100</v>
      </c>
      <c r="L47" s="190"/>
    </row>
    <row r="48" spans="1:12" s="177" customFormat="1" ht="15" customHeight="1">
      <c r="A48" s="174"/>
      <c r="B48" s="189" t="s">
        <v>62</v>
      </c>
      <c r="C48" s="15" t="s">
        <v>72</v>
      </c>
      <c r="D48" s="102"/>
      <c r="E48" s="102"/>
      <c r="F48" s="102"/>
      <c r="G48" s="102"/>
      <c r="L48" s="190"/>
    </row>
    <row r="49" spans="1:12" s="177" customFormat="1" ht="15" customHeight="1">
      <c r="A49" s="174"/>
      <c r="B49" s="189" t="s">
        <v>1590</v>
      </c>
      <c r="C49" s="36" t="s">
        <v>73</v>
      </c>
      <c r="D49" s="102">
        <f>SUM('3. sz. mell'!D53)</f>
        <v>0</v>
      </c>
      <c r="E49" s="102">
        <f>'3. sz. mell'!E53</f>
        <v>1136</v>
      </c>
      <c r="F49" s="102">
        <f>'3. sz. mell'!F53</f>
        <v>1136</v>
      </c>
      <c r="G49" s="102">
        <f t="shared" ref="G49:G50" si="6">F49/E49*100</f>
        <v>100</v>
      </c>
      <c r="L49" s="190"/>
    </row>
    <row r="50" spans="1:12" s="177" customFormat="1" ht="15" customHeight="1" thickBot="1">
      <c r="A50" s="174"/>
      <c r="B50" s="189" t="s">
        <v>1896</v>
      </c>
      <c r="C50" s="15" t="s">
        <v>1897</v>
      </c>
      <c r="D50" s="243"/>
      <c r="E50" s="243">
        <f>'3. sz. mell'!E54</f>
        <v>5000</v>
      </c>
      <c r="F50" s="243">
        <f>'3. sz. mell'!F54</f>
        <v>51095</v>
      </c>
      <c r="G50" s="243">
        <f t="shared" si="6"/>
        <v>1021.9</v>
      </c>
    </row>
    <row r="51" spans="1:12" s="177" customFormat="1" ht="15" customHeight="1" thickBot="1">
      <c r="A51" s="951" t="s">
        <v>178</v>
      </c>
      <c r="B51" s="171"/>
      <c r="C51" s="12" t="s">
        <v>1593</v>
      </c>
      <c r="D51" s="111">
        <f>SUM(D53)</f>
        <v>500</v>
      </c>
      <c r="E51" s="111">
        <f>SUM(E52:E53)</f>
        <v>448926</v>
      </c>
      <c r="F51" s="111">
        <f>SUM(F52:F53)</f>
        <v>453574</v>
      </c>
      <c r="G51" s="111">
        <f t="shared" ref="G51:G56" si="7">F51/E51*100</f>
        <v>101.03535994796469</v>
      </c>
      <c r="L51" s="190"/>
    </row>
    <row r="52" spans="1:12" s="177" customFormat="1" ht="15" customHeight="1">
      <c r="A52" s="174"/>
      <c r="B52" s="189" t="s">
        <v>69</v>
      </c>
      <c r="C52" s="15" t="s">
        <v>1894</v>
      </c>
      <c r="D52" s="102"/>
      <c r="E52" s="102">
        <f>'3. sz. mell'!E59</f>
        <v>0</v>
      </c>
      <c r="F52" s="102">
        <f>'3. sz. mell'!F59</f>
        <v>0</v>
      </c>
      <c r="G52" s="102" t="e">
        <f t="shared" ref="G52" si="8">F52/E52*100</f>
        <v>#DIV/0!</v>
      </c>
      <c r="L52" s="190"/>
    </row>
    <row r="53" spans="1:12" s="177" customFormat="1" ht="15" customHeight="1" thickBot="1">
      <c r="A53" s="174"/>
      <c r="B53" s="189" t="s">
        <v>71</v>
      </c>
      <c r="C53" s="15" t="s">
        <v>78</v>
      </c>
      <c r="D53" s="102">
        <f>'3. sz. mell'!D58</f>
        <v>500</v>
      </c>
      <c r="E53" s="102">
        <f>'3. sz. mell'!E58</f>
        <v>448926</v>
      </c>
      <c r="F53" s="102">
        <f>'3. sz. mell'!F58+'5. sz. mell. '!F29</f>
        <v>453574</v>
      </c>
      <c r="G53" s="102">
        <f t="shared" si="7"/>
        <v>101.03535994796469</v>
      </c>
      <c r="L53" s="190"/>
    </row>
    <row r="54" spans="1:12" s="177" customFormat="1" ht="15" customHeight="1" thickBot="1">
      <c r="A54" s="951" t="s">
        <v>74</v>
      </c>
      <c r="B54" s="194"/>
      <c r="C54" s="195" t="s">
        <v>1594</v>
      </c>
      <c r="D54" s="196">
        <f>SUM('3. sz. mell'!D60)</f>
        <v>500</v>
      </c>
      <c r="E54" s="196">
        <f>SUM('3. sz. mell'!E60+'4. sz. mell.'!E24)</f>
        <v>509</v>
      </c>
      <c r="F54" s="196">
        <f>SUM('3. sz. mell'!F60+'4. sz. mell.'!F24)</f>
        <v>3310</v>
      </c>
      <c r="G54" s="196">
        <f t="shared" si="7"/>
        <v>650.29469548133591</v>
      </c>
      <c r="L54" s="190"/>
    </row>
    <row r="55" spans="1:12" s="173" customFormat="1" ht="34.5" customHeight="1" thickBot="1">
      <c r="A55" s="951" t="s">
        <v>205</v>
      </c>
      <c r="B55" s="171"/>
      <c r="C55" s="743" t="s">
        <v>1591</v>
      </c>
      <c r="D55" s="744">
        <f>+D8+D17+D26+D57+D27+D46+D51+D54</f>
        <v>3273191</v>
      </c>
      <c r="E55" s="744">
        <f>+E8+E17+E26+E57+E27+E46+E51+E54+E43</f>
        <v>3710623</v>
      </c>
      <c r="F55" s="744">
        <f>+F8+F17+F26+F57+F27+F46+F51+F54+F43</f>
        <v>3889297</v>
      </c>
      <c r="G55" s="744">
        <f t="shared" si="7"/>
        <v>104.81520219111454</v>
      </c>
      <c r="L55" s="190"/>
    </row>
    <row r="56" spans="1:12" s="177" customFormat="1" ht="15" customHeight="1" thickBot="1">
      <c r="A56" s="1917" t="s">
        <v>1217</v>
      </c>
      <c r="B56" s="1918"/>
      <c r="C56" s="1919"/>
      <c r="D56" s="732"/>
      <c r="E56" s="732"/>
      <c r="F56" s="732"/>
      <c r="G56" s="742" t="e">
        <f t="shared" si="7"/>
        <v>#DIV/0!</v>
      </c>
      <c r="L56" s="190"/>
    </row>
    <row r="57" spans="1:12" s="173" customFormat="1" ht="32.25" customHeight="1" thickBot="1">
      <c r="A57" s="951" t="s">
        <v>79</v>
      </c>
      <c r="B57" s="171"/>
      <c r="C57" s="172" t="s">
        <v>1602</v>
      </c>
      <c r="D57" s="111">
        <f>SUM(D58:D65)</f>
        <v>526670</v>
      </c>
      <c r="E57" s="111">
        <f t="shared" ref="E57:F57" si="9">SUM(E58:E65)</f>
        <v>636755</v>
      </c>
      <c r="F57" s="111">
        <f t="shared" si="9"/>
        <v>636755</v>
      </c>
      <c r="G57" s="111">
        <f t="shared" ref="G57:G76" si="10">F57/E57*100</f>
        <v>100</v>
      </c>
    </row>
    <row r="58" spans="1:12" s="177" customFormat="1" ht="15" customHeight="1">
      <c r="A58" s="174"/>
      <c r="B58" s="175" t="s">
        <v>1067</v>
      </c>
      <c r="C58" s="27" t="s">
        <v>1525</v>
      </c>
      <c r="D58" s="186">
        <f>SUM('3. sz. mell'!D27)</f>
        <v>517641</v>
      </c>
      <c r="E58" s="186">
        <f>SUM('3. sz. mell'!E27)</f>
        <v>624348</v>
      </c>
      <c r="F58" s="186">
        <f>SUM('3. sz. mell'!F27)</f>
        <v>624348</v>
      </c>
      <c r="G58" s="186">
        <f t="shared" si="10"/>
        <v>100</v>
      </c>
    </row>
    <row r="59" spans="1:12" s="177" customFormat="1" ht="15" customHeight="1">
      <c r="A59" s="174"/>
      <c r="B59" s="175" t="s">
        <v>1595</v>
      </c>
      <c r="C59" s="15" t="s">
        <v>41</v>
      </c>
      <c r="D59" s="102">
        <f>SUM('3. sz. mell'!D28)</f>
        <v>0</v>
      </c>
      <c r="E59" s="102">
        <f>SUM('3. sz. mell'!E28)</f>
        <v>0</v>
      </c>
      <c r="F59" s="102">
        <f>SUM('3. sz. mell'!F28)</f>
        <v>0</v>
      </c>
      <c r="G59" s="102" t="e">
        <f t="shared" si="10"/>
        <v>#DIV/0!</v>
      </c>
    </row>
    <row r="60" spans="1:12" s="177" customFormat="1" ht="15" customHeight="1">
      <c r="A60" s="174"/>
      <c r="B60" s="175" t="s">
        <v>1596</v>
      </c>
      <c r="C60" s="15" t="s">
        <v>42</v>
      </c>
      <c r="D60" s="102">
        <f>SUM('3.1.asz.melléklet'!E58)</f>
        <v>9029</v>
      </c>
      <c r="E60" s="102">
        <f>SUM('3.1.asz.melléklet'!F58)</f>
        <v>12407</v>
      </c>
      <c r="F60" s="102">
        <f>SUM('3.1.asz.melléklet'!G58)</f>
        <v>12407</v>
      </c>
      <c r="G60" s="102">
        <f t="shared" si="10"/>
        <v>100</v>
      </c>
    </row>
    <row r="61" spans="1:12" s="177" customFormat="1" ht="15" customHeight="1">
      <c r="A61" s="174"/>
      <c r="B61" s="175" t="s">
        <v>1597</v>
      </c>
      <c r="C61" s="15" t="s">
        <v>43</v>
      </c>
      <c r="D61" s="102"/>
      <c r="E61" s="102"/>
      <c r="F61" s="102"/>
      <c r="G61" s="102"/>
    </row>
    <row r="62" spans="1:12" s="177" customFormat="1" ht="15" customHeight="1">
      <c r="A62" s="174"/>
      <c r="B62" s="175" t="s">
        <v>1598</v>
      </c>
      <c r="C62" s="15" t="s">
        <v>44</v>
      </c>
      <c r="D62" s="102">
        <f>SUM('3. sz. mell'!D31)</f>
        <v>0</v>
      </c>
      <c r="E62" s="102">
        <f>SUM('3. sz. mell'!E31)</f>
        <v>0</v>
      </c>
      <c r="F62" s="102">
        <f>SUM('3. sz. mell'!F31)</f>
        <v>0</v>
      </c>
      <c r="G62" s="102"/>
    </row>
    <row r="63" spans="1:12" s="177" customFormat="1" ht="15" customHeight="1">
      <c r="A63" s="174"/>
      <c r="B63" s="175" t="s">
        <v>1599</v>
      </c>
      <c r="C63" s="15" t="s">
        <v>45</v>
      </c>
      <c r="D63" s="102">
        <f>SUM('3. sz. mell'!D32)</f>
        <v>0</v>
      </c>
      <c r="E63" s="102">
        <f>SUM('3. sz. mell'!E32)</f>
        <v>0</v>
      </c>
      <c r="F63" s="102">
        <f>SUM('3. sz. mell'!F32)</f>
        <v>0</v>
      </c>
      <c r="G63" s="102"/>
    </row>
    <row r="64" spans="1:12" s="177" customFormat="1" ht="15" customHeight="1">
      <c r="A64" s="174"/>
      <c r="B64" s="175" t="s">
        <v>1600</v>
      </c>
      <c r="C64" s="15" t="s">
        <v>46</v>
      </c>
      <c r="D64" s="106">
        <f>SUM('3. sz. mell'!D33)</f>
        <v>0</v>
      </c>
      <c r="E64" s="106">
        <f>SUM('3. sz. mell'!E33)</f>
        <v>0</v>
      </c>
      <c r="F64" s="106">
        <f>SUM('3. sz. mell'!F33)</f>
        <v>0</v>
      </c>
      <c r="G64" s="106"/>
    </row>
    <row r="65" spans="1:14" s="177" customFormat="1" ht="15" customHeight="1" thickBot="1">
      <c r="A65" s="183"/>
      <c r="B65" s="175" t="s">
        <v>1601</v>
      </c>
      <c r="C65" s="83" t="s">
        <v>268</v>
      </c>
      <c r="D65" s="187">
        <f>SUM('3. sz. mell'!D34)</f>
        <v>0</v>
      </c>
      <c r="E65" s="187">
        <f>SUM('3. sz. mell'!E34)</f>
        <v>0</v>
      </c>
      <c r="F65" s="187">
        <f>SUM('3. sz. mell'!F34)</f>
        <v>0</v>
      </c>
      <c r="G65" s="187" t="e">
        <f t="shared" si="10"/>
        <v>#DIV/0!</v>
      </c>
    </row>
    <row r="66" spans="1:14" s="177" customFormat="1" ht="15" customHeight="1" thickBot="1">
      <c r="A66" s="201" t="s">
        <v>80</v>
      </c>
      <c r="B66" s="202"/>
      <c r="C66" s="12" t="s">
        <v>1603</v>
      </c>
      <c r="D66" s="209"/>
      <c r="E66" s="209">
        <f>SUM(E67:E69)</f>
        <v>1431844</v>
      </c>
      <c r="F66" s="209">
        <f>SUM(F67:F69)</f>
        <v>1431964</v>
      </c>
      <c r="G66" s="209">
        <f t="shared" si="10"/>
        <v>100.00838080126047</v>
      </c>
    </row>
    <row r="67" spans="1:14" s="177" customFormat="1" ht="15" customHeight="1">
      <c r="A67" s="174"/>
      <c r="B67" s="189" t="s">
        <v>1068</v>
      </c>
      <c r="C67" s="32" t="s">
        <v>871</v>
      </c>
      <c r="D67" s="102"/>
      <c r="E67" s="102">
        <f>'4. sz. mell.'!E28+'5. sz. mell. '!E40</f>
        <v>935778</v>
      </c>
      <c r="F67" s="102">
        <f>'4. sz. mell.'!F28+'5. sz. mell. '!F40</f>
        <v>935898</v>
      </c>
      <c r="G67" s="102">
        <f t="shared" si="10"/>
        <v>100.01282355430455</v>
      </c>
      <c r="J67" s="190">
        <f>SUM('4. sz. mell.'!D28+'5. sz. mell. '!D40)</f>
        <v>830634</v>
      </c>
      <c r="K67" s="190">
        <f>SUM('4. sz. mell.'!E28+'5. sz. mell. '!E40)</f>
        <v>935778</v>
      </c>
      <c r="L67" s="190">
        <f>SUM('4. sz. mell.'!F28+'5. sz. mell. '!F40)</f>
        <v>935898</v>
      </c>
    </row>
    <row r="68" spans="1:14" s="177" customFormat="1" ht="15" customHeight="1">
      <c r="A68" s="174"/>
      <c r="B68" s="189" t="s">
        <v>1069</v>
      </c>
      <c r="C68" s="32" t="s">
        <v>270</v>
      </c>
      <c r="D68" s="102"/>
      <c r="E68" s="102">
        <f>'4. sz. mell.'!E18+'5. sz. mell. '!E20+'4. sz. mell.'!E19</f>
        <v>486958</v>
      </c>
      <c r="F68" s="102">
        <f>'4. sz. mell.'!F18+'5. sz. mell. '!F20+'4. sz. mell.'!F19</f>
        <v>486958</v>
      </c>
      <c r="G68" s="102">
        <f t="shared" si="10"/>
        <v>100</v>
      </c>
      <c r="K68" s="190">
        <f>SUM('4. sz. mell.'!E18+'4. sz. mell.'!E19+'5. sz. mell. '!E20)</f>
        <v>486958</v>
      </c>
      <c r="L68" s="190">
        <f>SUM('4. sz. mell.'!F18+'4. sz. mell.'!F19+'5. sz. mell. '!F20)</f>
        <v>486958</v>
      </c>
    </row>
    <row r="69" spans="1:14" s="177" customFormat="1" ht="15" customHeight="1" thickBot="1">
      <c r="A69" s="191"/>
      <c r="B69" s="189" t="s">
        <v>1604</v>
      </c>
      <c r="C69" s="34" t="s">
        <v>68</v>
      </c>
      <c r="D69" s="187"/>
      <c r="E69" s="187">
        <f>'5. sz. mell. '!E28</f>
        <v>9108</v>
      </c>
      <c r="F69" s="187">
        <f>'5. sz. mell. '!F28</f>
        <v>9108</v>
      </c>
      <c r="G69" s="187">
        <f t="shared" si="10"/>
        <v>100</v>
      </c>
      <c r="L69" s="190"/>
    </row>
    <row r="70" spans="1:14" s="173" customFormat="1" ht="29.25" thickBot="1">
      <c r="A70" s="951" t="s">
        <v>85</v>
      </c>
      <c r="B70" s="198"/>
      <c r="C70" s="12" t="s">
        <v>1607</v>
      </c>
      <c r="D70" s="199">
        <f>+D71+D72</f>
        <v>0</v>
      </c>
      <c r="E70" s="199">
        <f t="shared" ref="E70:F70" si="11">+E71+E72</f>
        <v>649866</v>
      </c>
      <c r="F70" s="199">
        <f t="shared" si="11"/>
        <v>649866</v>
      </c>
      <c r="G70" s="199">
        <f t="shared" si="10"/>
        <v>100</v>
      </c>
      <c r="L70" s="190">
        <v>60000</v>
      </c>
    </row>
    <row r="71" spans="1:14" s="173" customFormat="1" ht="15" customHeight="1">
      <c r="A71" s="181"/>
      <c r="B71" s="188" t="s">
        <v>86</v>
      </c>
      <c r="C71" s="19" t="s">
        <v>82</v>
      </c>
      <c r="D71" s="200"/>
      <c r="E71" s="200">
        <f>'3. sz. mell'!E63+'4. sz. mell.'!E26+'5. sz. mell. '!E38</f>
        <v>242166</v>
      </c>
      <c r="F71" s="200">
        <f>'3. sz. mell'!F63+'4. sz. mell.'!F26+'5. sz. mell. '!F38</f>
        <v>242166</v>
      </c>
      <c r="G71" s="200">
        <f t="shared" si="10"/>
        <v>100</v>
      </c>
      <c r="L71" s="190"/>
    </row>
    <row r="72" spans="1:14" s="173" customFormat="1" ht="15" customHeight="1" thickBot="1">
      <c r="A72" s="191"/>
      <c r="B72" s="192" t="s">
        <v>93</v>
      </c>
      <c r="C72" s="24" t="s">
        <v>84</v>
      </c>
      <c r="D72" s="187">
        <f>SUM('3. sz. mell'!D64)</f>
        <v>0</v>
      </c>
      <c r="E72" s="187">
        <f>SUM('3. sz. mell'!E64)</f>
        <v>407700</v>
      </c>
      <c r="F72" s="187">
        <f>SUM('3. sz. mell'!F64)</f>
        <v>407700</v>
      </c>
      <c r="G72" s="187">
        <f t="shared" si="10"/>
        <v>100</v>
      </c>
      <c r="L72" s="190"/>
    </row>
    <row r="73" spans="1:14" s="177" customFormat="1" ht="29.25" thickBot="1">
      <c r="A73" s="201" t="s">
        <v>98</v>
      </c>
      <c r="B73" s="202"/>
      <c r="C73" s="12" t="s">
        <v>1608</v>
      </c>
      <c r="D73" s="111">
        <f>+D74+D75</f>
        <v>0</v>
      </c>
      <c r="E73" s="111">
        <f t="shared" ref="E73:F73" si="12">+E74+E75</f>
        <v>198462</v>
      </c>
      <c r="F73" s="111">
        <f t="shared" si="12"/>
        <v>2104786</v>
      </c>
      <c r="G73" s="111">
        <f>+G74+G75</f>
        <v>0</v>
      </c>
      <c r="L73" s="190"/>
    </row>
    <row r="74" spans="1:14" s="177" customFormat="1" ht="15" customHeight="1">
      <c r="A74" s="203"/>
      <c r="B74" s="204" t="s">
        <v>1605</v>
      </c>
      <c r="C74" s="176" t="s">
        <v>271</v>
      </c>
      <c r="D74" s="97"/>
      <c r="E74" s="97">
        <f>'3. sz. mell'!E66</f>
        <v>198462</v>
      </c>
      <c r="F74" s="97">
        <f>'3. sz. mell'!F66</f>
        <v>2104786</v>
      </c>
      <c r="G74" s="97"/>
      <c r="J74" s="205"/>
      <c r="K74" s="152"/>
      <c r="L74" s="152"/>
    </row>
    <row r="75" spans="1:14" s="177" customFormat="1" ht="15" customHeight="1" thickBot="1">
      <c r="A75" s="206"/>
      <c r="B75" s="207" t="s">
        <v>1606</v>
      </c>
      <c r="C75" s="208" t="s">
        <v>273</v>
      </c>
      <c r="D75" s="106"/>
      <c r="E75" s="97">
        <f>'3. sz. mell'!E67</f>
        <v>0</v>
      </c>
      <c r="F75" s="97">
        <f>'3. sz. mell'!F67</f>
        <v>0</v>
      </c>
      <c r="G75" s="106"/>
      <c r="L75" s="190"/>
      <c r="N75" s="523">
        <f>SUM(F78+F76)</f>
        <v>8071910</v>
      </c>
    </row>
    <row r="76" spans="1:14" s="221" customFormat="1" ht="15" customHeight="1" thickBot="1">
      <c r="A76" s="170"/>
      <c r="B76" s="228"/>
      <c r="C76" s="12" t="s">
        <v>1609</v>
      </c>
      <c r="D76" s="111">
        <f>SUM(D71)</f>
        <v>0</v>
      </c>
      <c r="E76" s="111">
        <f>E66</f>
        <v>1431844</v>
      </c>
      <c r="F76" s="111">
        <f>F66</f>
        <v>1431964</v>
      </c>
      <c r="G76" s="111">
        <f t="shared" si="10"/>
        <v>100.00838080126047</v>
      </c>
      <c r="J76" s="1897" t="s">
        <v>2049</v>
      </c>
      <c r="K76" s="1897"/>
      <c r="L76" s="1897"/>
    </row>
    <row r="77" spans="1:14" s="177" customFormat="1" ht="15" customHeight="1" thickBot="1">
      <c r="A77" s="201"/>
      <c r="B77" s="202"/>
      <c r="C77" s="12" t="s">
        <v>1610</v>
      </c>
      <c r="D77" s="209"/>
      <c r="E77" s="209"/>
      <c r="F77" s="209">
        <f>'3. sz. mell'!F68+'4. sz. mell.'!F29+'5. sz. mell. '!F41</f>
        <v>-4003</v>
      </c>
      <c r="G77" s="209"/>
      <c r="J77" s="1276" t="s">
        <v>945</v>
      </c>
      <c r="K77" s="1276" t="s">
        <v>2050</v>
      </c>
      <c r="L77" s="1276" t="s">
        <v>2051</v>
      </c>
    </row>
    <row r="78" spans="1:14" s="177" customFormat="1" ht="21.75" customHeight="1" thickBot="1">
      <c r="A78" s="201" t="s">
        <v>99</v>
      </c>
      <c r="B78" s="212"/>
      <c r="C78" s="213" t="s">
        <v>1216</v>
      </c>
      <c r="D78" s="199">
        <f>+D55+D70+D73</f>
        <v>3273191</v>
      </c>
      <c r="E78" s="199">
        <f>+E55+E70+E73+E77</f>
        <v>4558951</v>
      </c>
      <c r="F78" s="199">
        <f>+F55+F70+F73+F77</f>
        <v>6639946</v>
      </c>
      <c r="G78" s="199">
        <f>F78/E78*100</f>
        <v>145.64635592705429</v>
      </c>
      <c r="J78" s="190">
        <f>SUM('3. sz. mell'!D69+'4. sz. mell.'!D30+'5. sz. mell. '!D42)</f>
        <v>4585768</v>
      </c>
      <c r="K78" s="190">
        <f>SUM('3. sz. mell'!E69+'4. sz. mell.'!E30+'5. sz. mell. '!E42)</f>
        <v>5990795</v>
      </c>
      <c r="L78" s="190">
        <f>SUM('3. sz. mell'!F69+'4. sz. mell.'!F30+'5. sz. mell. '!F42)</f>
        <v>8071910</v>
      </c>
    </row>
    <row r="79" spans="1:14" s="177" customFormat="1" ht="18.75" customHeight="1" thickBot="1">
      <c r="A79" s="214"/>
      <c r="B79" s="215"/>
      <c r="C79" s="216" t="s">
        <v>197</v>
      </c>
      <c r="D79" s="217"/>
      <c r="E79" s="217"/>
      <c r="F79" s="217"/>
      <c r="G79" s="217"/>
      <c r="N79" s="523">
        <f>SUM(F76:F77)</f>
        <v>1427961</v>
      </c>
    </row>
    <row r="80" spans="1:14" ht="15" customHeight="1" thickBot="1">
      <c r="A80" s="170" t="s">
        <v>4</v>
      </c>
      <c r="B80" s="12"/>
      <c r="C80" s="67" t="s">
        <v>101</v>
      </c>
      <c r="D80" s="111">
        <f>SUM(D81:D84)+D85</f>
        <v>2703654</v>
      </c>
      <c r="E80" s="111">
        <f t="shared" ref="E80:F80" si="13">SUM(E81:E84)+E85</f>
        <v>3301380</v>
      </c>
      <c r="F80" s="111">
        <f t="shared" si="13"/>
        <v>3083315</v>
      </c>
      <c r="G80" s="111">
        <f t="shared" ref="G80:G87" si="14">F80/E80*100</f>
        <v>93.394731899993332</v>
      </c>
      <c r="I80" s="177" t="s">
        <v>272</v>
      </c>
      <c r="J80" s="218">
        <f>SUM(J78-D78)</f>
        <v>1312577</v>
      </c>
      <c r="K80" s="218">
        <f>SUM(K78-E78)</f>
        <v>1431844</v>
      </c>
      <c r="L80" s="218">
        <f>SUM(L78-F78)</f>
        <v>1431964</v>
      </c>
      <c r="N80" s="219">
        <f>SUM(L80-N79)</f>
        <v>4003</v>
      </c>
    </row>
    <row r="81" spans="1:14" s="165" customFormat="1" ht="16.5" customHeight="1">
      <c r="A81" s="193"/>
      <c r="B81" s="220" t="s">
        <v>102</v>
      </c>
      <c r="C81" s="27" t="s">
        <v>103</v>
      </c>
      <c r="D81" s="97">
        <f>SUM('3. sz. mell'!D73+'4. sz. mell.'!D34+'5. sz. mell. '!D46)</f>
        <v>904670</v>
      </c>
      <c r="E81" s="97">
        <f>SUM('3. sz. mell'!E73+'4. sz. mell.'!E34+'5. sz. mell. '!E46)</f>
        <v>1025986</v>
      </c>
      <c r="F81" s="97">
        <f>SUM('3. sz. mell'!F73+'4. sz. mell.'!F34+'5. sz. mell. '!F46)</f>
        <v>995355</v>
      </c>
      <c r="G81" s="97">
        <f t="shared" si="14"/>
        <v>97.01448167908724</v>
      </c>
      <c r="N81" s="1209">
        <f>SUM(N79:N80)</f>
        <v>1431964</v>
      </c>
    </row>
    <row r="82" spans="1:14" s="221" customFormat="1" ht="21" customHeight="1">
      <c r="A82" s="174"/>
      <c r="B82" s="189" t="s">
        <v>104</v>
      </c>
      <c r="C82" s="15" t="s">
        <v>105</v>
      </c>
      <c r="D82" s="102">
        <f>SUM('3. sz. mell'!D74+'4. sz. mell.'!D35+'5. sz. mell. '!D48)</f>
        <v>250657</v>
      </c>
      <c r="E82" s="102">
        <f>SUM('3. sz. mell'!E74+'4. sz. mell.'!E35+'5. sz. mell. '!E48)</f>
        <v>252063</v>
      </c>
      <c r="F82" s="102">
        <f>SUM('3. sz. mell'!F74+'4. sz. mell.'!F35+'5. sz. mell. '!F48)</f>
        <v>244906</v>
      </c>
      <c r="G82" s="102">
        <f t="shared" si="14"/>
        <v>97.160630477301311</v>
      </c>
    </row>
    <row r="83" spans="1:14" ht="15" customHeight="1">
      <c r="A83" s="174"/>
      <c r="B83" s="189" t="s">
        <v>106</v>
      </c>
      <c r="C83" s="15" t="s">
        <v>107</v>
      </c>
      <c r="D83" s="102">
        <f>SUM('3. sz. mell'!D75+'4. sz. mell.'!D36+'5. sz. mell. '!D50)</f>
        <v>1364695</v>
      </c>
      <c r="E83" s="102">
        <f>SUM('3. sz. mell'!E75+'4. sz. mell.'!E36+'5. sz. mell. '!E50)</f>
        <v>1602368</v>
      </c>
      <c r="F83" s="102">
        <f>SUM('3. sz. mell'!F75+'4. sz. mell.'!F36+'5. sz. mell. '!F50)</f>
        <v>1478797</v>
      </c>
      <c r="G83" s="102">
        <f t="shared" si="14"/>
        <v>92.288225925630059</v>
      </c>
    </row>
    <row r="84" spans="1:14" ht="15" customHeight="1">
      <c r="A84" s="174"/>
      <c r="B84" s="189" t="s">
        <v>902</v>
      </c>
      <c r="C84" s="15" t="s">
        <v>111</v>
      </c>
      <c r="D84" s="102">
        <f>SUM(D86+D87)</f>
        <v>143632</v>
      </c>
      <c r="E84" s="102">
        <f>SUM(E86+E87)</f>
        <v>324378</v>
      </c>
      <c r="F84" s="102">
        <f t="shared" ref="F84" si="15">SUM(F86+F87)</f>
        <v>269677</v>
      </c>
      <c r="G84" s="102">
        <f t="shared" si="14"/>
        <v>83.136649217887765</v>
      </c>
    </row>
    <row r="85" spans="1:14" ht="15" customHeight="1">
      <c r="A85" s="174"/>
      <c r="B85" s="189" t="s">
        <v>428</v>
      </c>
      <c r="C85" s="15" t="s">
        <v>109</v>
      </c>
      <c r="D85" s="102">
        <f>SUM('3. sz. mell'!D76+'4. sz. mell.'!D37)</f>
        <v>40000</v>
      </c>
      <c r="E85" s="102">
        <f>SUM('3. sz. mell'!E76+'4. sz. mell.'!E37)</f>
        <v>96585</v>
      </c>
      <c r="F85" s="102">
        <f>SUM('3. sz. mell'!F76+'4. sz. mell.'!F37)</f>
        <v>94580</v>
      </c>
      <c r="G85" s="102">
        <f t="shared" si="14"/>
        <v>97.924108298390024</v>
      </c>
    </row>
    <row r="86" spans="1:14" ht="15" customHeight="1">
      <c r="A86" s="174"/>
      <c r="B86" s="189" t="s">
        <v>1185</v>
      </c>
      <c r="C86" s="15" t="s">
        <v>113</v>
      </c>
      <c r="D86" s="102">
        <f>SUM('4. sz. mell.'!D38+'5. sz. mell. '!D53)</f>
        <v>9986</v>
      </c>
      <c r="E86" s="102">
        <f>SUM('4. sz. mell.'!E38+'5. sz. mell. '!E53)</f>
        <v>4886</v>
      </c>
      <c r="F86" s="102">
        <f>SUM('4. sz. mell.'!F38+'5. sz. mell. '!F53)</f>
        <v>4886</v>
      </c>
      <c r="G86" s="102">
        <f t="shared" si="14"/>
        <v>100</v>
      </c>
    </row>
    <row r="87" spans="1:14" ht="15" customHeight="1">
      <c r="A87" s="174"/>
      <c r="B87" s="189" t="s">
        <v>526</v>
      </c>
      <c r="C87" s="15" t="s">
        <v>115</v>
      </c>
      <c r="D87" s="102">
        <f>SUM(D88:D95)</f>
        <v>133646</v>
      </c>
      <c r="E87" s="102">
        <f>SUM(E88:E95)</f>
        <v>319492</v>
      </c>
      <c r="F87" s="102">
        <f t="shared" ref="F87" si="16">SUM(F88:F95)</f>
        <v>264791</v>
      </c>
      <c r="G87" s="102">
        <f t="shared" si="14"/>
        <v>82.878757527575019</v>
      </c>
      <c r="K87" s="86"/>
    </row>
    <row r="88" spans="1:14" ht="15" customHeight="1">
      <c r="A88" s="174"/>
      <c r="B88" s="189" t="s">
        <v>1186</v>
      </c>
      <c r="C88" s="222" t="s">
        <v>1195</v>
      </c>
      <c r="D88" s="102">
        <f>SUM('3. sz. mell'!D78)</f>
        <v>0</v>
      </c>
      <c r="E88" s="102">
        <f>SUM('3. sz. mell'!E78)</f>
        <v>0</v>
      </c>
      <c r="F88" s="102">
        <f>SUM('3. sz. mell'!F78)</f>
        <v>0</v>
      </c>
      <c r="G88" s="102"/>
    </row>
    <row r="89" spans="1:14" ht="15" customHeight="1">
      <c r="A89" s="174"/>
      <c r="B89" s="189" t="s">
        <v>1187</v>
      </c>
      <c r="C89" s="222" t="s">
        <v>1196</v>
      </c>
      <c r="D89" s="102">
        <f>SUM('3. sz. mell'!D79)</f>
        <v>0</v>
      </c>
      <c r="E89" s="102">
        <f>SUM('3. sz. mell'!E79)</f>
        <v>0</v>
      </c>
      <c r="F89" s="102">
        <f>SUM('3. sz. mell'!F79)</f>
        <v>0</v>
      </c>
      <c r="G89" s="102"/>
    </row>
    <row r="90" spans="1:14" ht="15" customHeight="1">
      <c r="A90" s="174"/>
      <c r="B90" s="189" t="s">
        <v>1188</v>
      </c>
      <c r="C90" s="222" t="s">
        <v>1197</v>
      </c>
      <c r="D90" s="102">
        <f>SUM('3. sz. mell'!D80)</f>
        <v>0</v>
      </c>
      <c r="E90" s="102">
        <f>SUM('3. sz. mell'!E80)</f>
        <v>0</v>
      </c>
      <c r="F90" s="102">
        <f>SUM('3. sz. mell'!F80)</f>
        <v>0</v>
      </c>
      <c r="G90" s="102"/>
    </row>
    <row r="91" spans="1:14" ht="31.5" customHeight="1">
      <c r="A91" s="174"/>
      <c r="B91" s="189" t="s">
        <v>1189</v>
      </c>
      <c r="C91" s="1283" t="s">
        <v>1198</v>
      </c>
      <c r="D91" s="102">
        <f>SUM('3. sz. mell'!D81)</f>
        <v>101646</v>
      </c>
      <c r="E91" s="102">
        <f>SUM('3. sz. mell'!E81)</f>
        <v>181947</v>
      </c>
      <c r="F91" s="102">
        <f>SUM('3. sz. mell'!F81)</f>
        <v>147289</v>
      </c>
      <c r="G91" s="102">
        <f>F91/E91*100</f>
        <v>80.951595794379685</v>
      </c>
    </row>
    <row r="92" spans="1:14" ht="15" customHeight="1">
      <c r="A92" s="174"/>
      <c r="B92" s="189" t="s">
        <v>1190</v>
      </c>
      <c r="C92" s="222" t="s">
        <v>1199</v>
      </c>
      <c r="D92" s="102">
        <f>SUM('3. sz. mell'!D82)</f>
        <v>0</v>
      </c>
      <c r="E92" s="102">
        <f>SUM('3. sz. mell'!E82)</f>
        <v>108399</v>
      </c>
      <c r="F92" s="102">
        <f>SUM('3. sz. mell'!F82)</f>
        <v>108312</v>
      </c>
      <c r="G92" s="102">
        <f t="shared" ref="G92:G94" si="17">F92/E92*100</f>
        <v>99.919740957019897</v>
      </c>
    </row>
    <row r="93" spans="1:14" ht="15" customHeight="1">
      <c r="A93" s="174"/>
      <c r="B93" s="189" t="s">
        <v>1191</v>
      </c>
      <c r="C93" s="222" t="s">
        <v>1200</v>
      </c>
      <c r="D93" s="102">
        <f>SUM('3. sz. mell'!D83)</f>
        <v>0</v>
      </c>
      <c r="E93" s="102">
        <f>SUM('3. sz. mell'!E83)</f>
        <v>0</v>
      </c>
      <c r="F93" s="102">
        <f>SUM('3. sz. mell'!F83)</f>
        <v>0</v>
      </c>
      <c r="G93" s="102" t="e">
        <f t="shared" si="17"/>
        <v>#DIV/0!</v>
      </c>
    </row>
    <row r="94" spans="1:14" ht="15" customHeight="1">
      <c r="A94" s="174"/>
      <c r="B94" s="189" t="s">
        <v>1192</v>
      </c>
      <c r="C94" s="222" t="s">
        <v>1201</v>
      </c>
      <c r="D94" s="102">
        <f>SUM('3. sz. mell'!D84)</f>
        <v>32000</v>
      </c>
      <c r="E94" s="102">
        <f>SUM('3. sz. mell'!E84)</f>
        <v>29146</v>
      </c>
      <c r="F94" s="102">
        <f>SUM('3. sz. mell'!F84)</f>
        <v>9190</v>
      </c>
      <c r="G94" s="102">
        <f t="shared" si="17"/>
        <v>31.530913332875866</v>
      </c>
    </row>
    <row r="95" spans="1:14" ht="15" customHeight="1">
      <c r="A95" s="183"/>
      <c r="B95" s="207" t="s">
        <v>1193</v>
      </c>
      <c r="C95" s="222" t="s">
        <v>1202</v>
      </c>
      <c r="D95" s="106">
        <f>SUM('3. sz. mell'!D85)</f>
        <v>0</v>
      </c>
      <c r="E95" s="106">
        <f>SUM('3. sz. mell'!E85)</f>
        <v>0</v>
      </c>
      <c r="F95" s="106">
        <f>SUM('3. sz. mell'!F85)</f>
        <v>0</v>
      </c>
      <c r="G95" s="106"/>
    </row>
    <row r="96" spans="1:14" ht="15" customHeight="1">
      <c r="A96" s="174"/>
      <c r="B96" s="189" t="s">
        <v>1194</v>
      </c>
      <c r="C96" s="15" t="s">
        <v>1184</v>
      </c>
      <c r="D96" s="102">
        <f>SUM('3. sz. mell'!D85)</f>
        <v>0</v>
      </c>
      <c r="E96" s="102">
        <f>SUM('3. sz. mell'!E85)</f>
        <v>0</v>
      </c>
      <c r="F96" s="102">
        <f>SUM('3. sz. mell'!F85)</f>
        <v>0</v>
      </c>
      <c r="G96" s="102" t="e">
        <f>F96/E96*100</f>
        <v>#DIV/0!</v>
      </c>
    </row>
    <row r="97" spans="1:18" ht="15" customHeight="1" thickBot="1">
      <c r="A97" s="178"/>
      <c r="B97" s="223" t="s">
        <v>434</v>
      </c>
      <c r="C97" s="224"/>
      <c r="G97" s="180"/>
    </row>
    <row r="98" spans="1:18" ht="15" customHeight="1" thickBot="1">
      <c r="A98" s="170" t="s">
        <v>5</v>
      </c>
      <c r="B98" s="12"/>
      <c r="C98" s="67" t="s">
        <v>150</v>
      </c>
      <c r="D98" s="111">
        <f>+D99+D101+D100</f>
        <v>258605</v>
      </c>
      <c r="E98" s="111">
        <f t="shared" ref="E98:F98" si="18">+E99+E101+E100</f>
        <v>333159</v>
      </c>
      <c r="F98" s="111">
        <f t="shared" si="18"/>
        <v>0</v>
      </c>
      <c r="G98" s="111">
        <f t="shared" ref="G98:G103" si="19">F98/E98*100</f>
        <v>0</v>
      </c>
    </row>
    <row r="99" spans="1:18" ht="15" customHeight="1">
      <c r="A99" s="193"/>
      <c r="B99" s="220" t="s">
        <v>6</v>
      </c>
      <c r="C99" s="27" t="s">
        <v>152</v>
      </c>
      <c r="D99" s="97">
        <f>SUM('3. sz. mell'!D102)</f>
        <v>20000</v>
      </c>
      <c r="E99" s="97">
        <f>'3.2.sz.melléklet'!F132</f>
        <v>692</v>
      </c>
      <c r="F99" s="97">
        <f>SUM('3. sz. mell'!F102)</f>
        <v>0</v>
      </c>
      <c r="G99" s="97">
        <f t="shared" si="19"/>
        <v>0</v>
      </c>
    </row>
    <row r="100" spans="1:18" ht="15" customHeight="1" thickBot="1">
      <c r="A100" s="191"/>
      <c r="B100" s="192" t="s">
        <v>8</v>
      </c>
      <c r="C100" s="227" t="s">
        <v>154</v>
      </c>
      <c r="D100" s="180">
        <f>SUM('3.2.sz.melléklet'!E133)</f>
        <v>143605</v>
      </c>
      <c r="E100" s="180">
        <f>SUM('3.2.sz.melléklet'!F133+'5. sz. mell. '!E54)</f>
        <v>83054</v>
      </c>
      <c r="F100" s="180">
        <f>SUM('3.2.sz.melléklet'!G133)</f>
        <v>0</v>
      </c>
      <c r="G100" s="187">
        <f t="shared" si="19"/>
        <v>0</v>
      </c>
    </row>
    <row r="101" spans="1:18" s="221" customFormat="1" ht="15" customHeight="1" thickBot="1">
      <c r="A101" s="183"/>
      <c r="B101" s="207" t="s">
        <v>10</v>
      </c>
      <c r="C101" s="83" t="s">
        <v>156</v>
      </c>
      <c r="D101" s="106">
        <f>SUM('3. sz. mell'!D104)</f>
        <v>95000</v>
      </c>
      <c r="E101" s="106">
        <f>SUM('3. sz. mell'!E104)</f>
        <v>249413</v>
      </c>
      <c r="F101" s="106">
        <f>SUM('3. sz. mell'!F104)</f>
        <v>0</v>
      </c>
      <c r="G101" s="106">
        <f t="shared" si="19"/>
        <v>0</v>
      </c>
    </row>
    <row r="102" spans="1:18" ht="15" customHeight="1" thickBot="1">
      <c r="A102" s="170" t="s">
        <v>19</v>
      </c>
      <c r="B102" s="12"/>
      <c r="C102" s="67" t="s">
        <v>109</v>
      </c>
      <c r="D102" s="111"/>
      <c r="E102" s="111"/>
      <c r="F102" s="111"/>
      <c r="G102" s="111" t="e">
        <f t="shared" si="19"/>
        <v>#DIV/0!</v>
      </c>
    </row>
    <row r="103" spans="1:18" ht="15" customHeight="1" thickBot="1">
      <c r="A103" s="1911" t="s">
        <v>1209</v>
      </c>
      <c r="B103" s="1912"/>
      <c r="C103" s="1913"/>
      <c r="D103" s="111">
        <f>SUM(D80+D100)+D99</f>
        <v>2867259</v>
      </c>
      <c r="E103" s="111">
        <f t="shared" ref="E103:F103" si="20">SUM(E80+E100)+E99</f>
        <v>3385126</v>
      </c>
      <c r="F103" s="111">
        <f t="shared" si="20"/>
        <v>3083315</v>
      </c>
      <c r="G103" s="111">
        <f t="shared" si="19"/>
        <v>91.08420188790609</v>
      </c>
      <c r="P103" s="86">
        <f>SUM(E103-E96)</f>
        <v>3385126</v>
      </c>
      <c r="Q103" s="86"/>
      <c r="R103" s="762"/>
    </row>
    <row r="104" spans="1:18" ht="15" customHeight="1" thickBot="1">
      <c r="A104" s="170" t="s">
        <v>149</v>
      </c>
      <c r="B104" s="12"/>
      <c r="C104" s="67" t="s">
        <v>132</v>
      </c>
      <c r="D104" s="111">
        <f>SUM(D105:D111)+D101</f>
        <v>341932</v>
      </c>
      <c r="E104" s="111">
        <f t="shared" ref="E104:F104" si="21">SUM(E105:E111)+E101</f>
        <v>1100974</v>
      </c>
      <c r="F104" s="111">
        <f t="shared" si="21"/>
        <v>602156</v>
      </c>
      <c r="G104" s="111">
        <f>F104/E104*100</f>
        <v>54.693026356662379</v>
      </c>
      <c r="R104" s="762"/>
    </row>
    <row r="105" spans="1:18" ht="15" customHeight="1">
      <c r="A105" s="193"/>
      <c r="B105" s="220" t="s">
        <v>279</v>
      </c>
      <c r="C105" s="27" t="s">
        <v>133</v>
      </c>
      <c r="D105" s="97">
        <v>116000</v>
      </c>
      <c r="E105" s="97">
        <f>'3. sz. mell'!E88+'4. sz. mell.'!E42+'5. sz. mell. '!E56</f>
        <v>765380</v>
      </c>
      <c r="F105" s="97">
        <f>'3. sz. mell'!F88+'4. sz. mell.'!F42+'5. sz. mell. '!F56</f>
        <v>545922</v>
      </c>
      <c r="G105" s="97">
        <f>F105/E105*100</f>
        <v>71.326922574407476</v>
      </c>
      <c r="I105" s="86">
        <f>SUM(D105:D106)</f>
        <v>141000</v>
      </c>
      <c r="J105" s="86">
        <f>SUM(E105:E106)</f>
        <v>795644</v>
      </c>
      <c r="K105" s="86">
        <f>SUM(F105:F106)</f>
        <v>575633</v>
      </c>
      <c r="L105" s="739">
        <f>K105/J105*100</f>
        <v>72.348060187722155</v>
      </c>
      <c r="P105" s="86">
        <f>SUM(E105:E106)</f>
        <v>795644</v>
      </c>
      <c r="Q105" s="86"/>
      <c r="R105" s="762"/>
    </row>
    <row r="106" spans="1:18" ht="15" customHeight="1">
      <c r="A106" s="174"/>
      <c r="B106" s="189" t="s">
        <v>1205</v>
      </c>
      <c r="C106" s="15" t="s">
        <v>134</v>
      </c>
      <c r="D106" s="97">
        <v>25000</v>
      </c>
      <c r="E106" s="97">
        <f>'3. sz. mell'!E89+'4. sz. mell.'!E43+'5. sz. mell. '!E57</f>
        <v>30264</v>
      </c>
      <c r="F106" s="97">
        <f>'3. sz. mell'!F89+'4. sz. mell.'!F43+'5. sz. mell. '!F57</f>
        <v>29711</v>
      </c>
      <c r="G106" s="97">
        <f>F106/E106*100</f>
        <v>98.17274649748876</v>
      </c>
    </row>
    <row r="107" spans="1:18" s="221" customFormat="1" ht="15" customHeight="1">
      <c r="A107" s="174"/>
      <c r="B107" s="189" t="s">
        <v>155</v>
      </c>
      <c r="C107" s="15" t="s">
        <v>135</v>
      </c>
      <c r="D107" s="102"/>
      <c r="E107" s="102"/>
      <c r="F107" s="102"/>
      <c r="G107" s="102"/>
    </row>
    <row r="108" spans="1:18" ht="15" customHeight="1">
      <c r="A108" s="174"/>
      <c r="B108" s="189" t="s">
        <v>1203</v>
      </c>
      <c r="C108" s="15" t="s">
        <v>136</v>
      </c>
      <c r="D108" s="102"/>
      <c r="E108" s="102"/>
      <c r="F108" s="102"/>
      <c r="G108" s="102"/>
    </row>
    <row r="109" spans="1:18" ht="31.5" customHeight="1">
      <c r="A109" s="174"/>
      <c r="B109" s="189" t="s">
        <v>1048</v>
      </c>
      <c r="C109" s="15" t="s">
        <v>137</v>
      </c>
      <c r="D109" s="102"/>
      <c r="E109" s="102"/>
      <c r="F109" s="102"/>
      <c r="G109" s="102"/>
    </row>
    <row r="110" spans="1:18" ht="33" customHeight="1">
      <c r="A110" s="174"/>
      <c r="B110" s="189" t="s">
        <v>1049</v>
      </c>
      <c r="C110" s="15" t="s">
        <v>278</v>
      </c>
      <c r="D110" s="102"/>
      <c r="E110" s="102"/>
      <c r="F110" s="102"/>
      <c r="G110" s="102"/>
    </row>
    <row r="111" spans="1:18" ht="15" customHeight="1">
      <c r="A111" s="174"/>
      <c r="B111" s="189" t="s">
        <v>1204</v>
      </c>
      <c r="C111" s="15" t="s">
        <v>139</v>
      </c>
      <c r="D111" s="102">
        <f>SUM('3. sz. mell'!D94+'4. sz. mell.'!D45+'5. sz. mell. '!D59)</f>
        <v>105932</v>
      </c>
      <c r="E111" s="102">
        <f>SUM('3. sz. mell'!E94+'4. sz. mell.'!E45+'5. sz. mell. '!E59)</f>
        <v>55917</v>
      </c>
      <c r="F111" s="102">
        <f>SUM('3. sz. mell'!F94+'4. sz. mell.'!F45+'5. sz. mell. '!F59)</f>
        <v>26523</v>
      </c>
      <c r="G111" s="102">
        <f t="shared" ref="G111:G116" si="22">F111/E111*100</f>
        <v>47.432802188958632</v>
      </c>
    </row>
    <row r="112" spans="1:18" ht="15" customHeight="1">
      <c r="A112" s="174"/>
      <c r="B112" s="189" t="s">
        <v>1210</v>
      </c>
      <c r="C112" s="15" t="s">
        <v>129</v>
      </c>
      <c r="D112" s="102">
        <f>SUM('3. sz. mell'!D95+'4. sz. mell.'!D46+'5. sz. mell. '!D60)</f>
        <v>54500</v>
      </c>
      <c r="E112" s="102">
        <f>SUM('3. sz. mell'!E95+'4. sz. mell.'!E45+'5. sz. mell. '!E60)</f>
        <v>44500</v>
      </c>
      <c r="F112" s="102">
        <f>SUM('3. sz. mell'!F95+'4. sz. mell.'!F45+'5. sz. mell. '!F60)</f>
        <v>25308</v>
      </c>
      <c r="G112" s="102">
        <f t="shared" si="22"/>
        <v>56.871910112359544</v>
      </c>
    </row>
    <row r="113" spans="1:16" ht="15" customHeight="1">
      <c r="A113" s="174"/>
      <c r="B113" s="189" t="s">
        <v>1211</v>
      </c>
      <c r="C113" s="15" t="s">
        <v>143</v>
      </c>
      <c r="D113" s="102">
        <f>SUM('3. sz. mell'!D96+'4. sz. mell.'!D47+'5. sz. mell. '!D61)</f>
        <v>51432</v>
      </c>
      <c r="E113" s="102">
        <f>SUM('3. sz. mell'!E97)</f>
        <v>10292</v>
      </c>
      <c r="F113" s="102">
        <f>SUM('3. sz. mell'!F97)</f>
        <v>90</v>
      </c>
      <c r="G113" s="102">
        <f t="shared" si="22"/>
        <v>0.87446560435289544</v>
      </c>
    </row>
    <row r="114" spans="1:16" s="221" customFormat="1" ht="15" customHeight="1">
      <c r="A114" s="174"/>
      <c r="B114" s="189" t="s">
        <v>1781</v>
      </c>
      <c r="C114" s="15" t="s">
        <v>147</v>
      </c>
      <c r="D114" s="102"/>
      <c r="E114" s="102">
        <f>'3. sz. mell'!E99</f>
        <v>1000</v>
      </c>
      <c r="F114" s="102">
        <f>'3. sz. mell'!F99</f>
        <v>1000</v>
      </c>
      <c r="G114" s="102">
        <f t="shared" si="22"/>
        <v>100</v>
      </c>
    </row>
    <row r="115" spans="1:16" ht="15" customHeight="1" thickBot="1">
      <c r="A115" s="183"/>
      <c r="B115" s="189" t="s">
        <v>2027</v>
      </c>
      <c r="C115" s="15" t="s">
        <v>145</v>
      </c>
      <c r="D115" s="106"/>
      <c r="E115" s="106">
        <f>'3. sz. mell'!E98</f>
        <v>125</v>
      </c>
      <c r="F115" s="106">
        <f>'3. sz. mell'!F98</f>
        <v>125</v>
      </c>
      <c r="G115" s="106">
        <f t="shared" si="22"/>
        <v>100</v>
      </c>
      <c r="P115" s="225"/>
    </row>
    <row r="116" spans="1:16" ht="15" customHeight="1" thickBot="1">
      <c r="A116" s="170" t="s">
        <v>38</v>
      </c>
      <c r="B116" s="12"/>
      <c r="C116" s="67" t="s">
        <v>148</v>
      </c>
      <c r="D116" s="226"/>
      <c r="E116" s="226">
        <f>'3. sz. mell'!E100+'4. sz. mell.'!E46</f>
        <v>8003</v>
      </c>
      <c r="F116" s="226">
        <f>'3. sz. mell'!F100+'4. sz. mell.'!F46</f>
        <v>550</v>
      </c>
      <c r="G116" s="226">
        <f t="shared" si="22"/>
        <v>6.8724228414344628</v>
      </c>
    </row>
    <row r="117" spans="1:16" s="221" customFormat="1" ht="15" customHeight="1" thickBot="1">
      <c r="A117" s="170" t="s">
        <v>48</v>
      </c>
      <c r="B117" s="228"/>
      <c r="C117" s="67" t="s">
        <v>280</v>
      </c>
      <c r="D117" s="226">
        <f>SUM('3. sz. mell'!D105)</f>
        <v>1312577</v>
      </c>
      <c r="E117" s="226">
        <f>SUM('3. sz. mell'!E105)</f>
        <v>1431844</v>
      </c>
      <c r="F117" s="226">
        <f>SUM('3. sz. mell'!F105)</f>
        <v>1431964</v>
      </c>
      <c r="G117" s="226"/>
    </row>
    <row r="118" spans="1:16" s="221" customFormat="1" ht="15" customHeight="1" thickBot="1">
      <c r="A118" s="170" t="s">
        <v>178</v>
      </c>
      <c r="B118" s="12"/>
      <c r="C118" s="40" t="s">
        <v>281</v>
      </c>
      <c r="D118" s="229">
        <f>+D80+D104+D116+D98+D117-D101</f>
        <v>4521768</v>
      </c>
      <c r="E118" s="229">
        <f>+E80+E104+E116+E98+E117-E101</f>
        <v>5925947</v>
      </c>
      <c r="F118" s="229">
        <f t="shared" ref="F118" si="23">+F80+F104+F116+F98+F117-F101</f>
        <v>5117985</v>
      </c>
      <c r="G118" s="229">
        <f>F118/E118*100</f>
        <v>86.36568973701587</v>
      </c>
      <c r="K118" s="727">
        <f>SUM(D118+D119)</f>
        <v>4585768</v>
      </c>
    </row>
    <row r="119" spans="1:16" s="221" customFormat="1" ht="29.25" thickBot="1">
      <c r="A119" s="170" t="s">
        <v>74</v>
      </c>
      <c r="B119" s="12"/>
      <c r="C119" s="67" t="s">
        <v>282</v>
      </c>
      <c r="D119" s="111">
        <f>+D120+D121</f>
        <v>64000</v>
      </c>
      <c r="E119" s="111">
        <f t="shared" ref="E119:F119" si="24">+E120+E121</f>
        <v>64848</v>
      </c>
      <c r="F119" s="111">
        <f t="shared" si="24"/>
        <v>2127566</v>
      </c>
      <c r="G119" s="111">
        <f>F119/E119*100</f>
        <v>3280.8506044905007</v>
      </c>
    </row>
    <row r="120" spans="1:16" s="221" customFormat="1" ht="15" customHeight="1">
      <c r="A120" s="193"/>
      <c r="B120" s="189" t="s">
        <v>1206</v>
      </c>
      <c r="C120" s="27" t="s">
        <v>284</v>
      </c>
      <c r="D120" s="97"/>
      <c r="E120" s="97">
        <f>'3. sz. mell'!E108</f>
        <v>0</v>
      </c>
      <c r="F120" s="97">
        <f>'3. sz. mell'!F108</f>
        <v>2072329</v>
      </c>
      <c r="G120" s="97"/>
    </row>
    <row r="121" spans="1:16" s="221" customFormat="1" ht="15" customHeight="1" thickBot="1">
      <c r="A121" s="183"/>
      <c r="B121" s="207" t="s">
        <v>1207</v>
      </c>
      <c r="C121" s="83" t="s">
        <v>285</v>
      </c>
      <c r="D121" s="106">
        <f>SUM('3. sz. mell'!D109)</f>
        <v>64000</v>
      </c>
      <c r="E121" s="106">
        <f>SUM('3. sz. mell'!E109)</f>
        <v>64848</v>
      </c>
      <c r="F121" s="106">
        <f>SUM('3. sz. mell'!F109)</f>
        <v>55237</v>
      </c>
      <c r="G121" s="106">
        <f>F121/E121*100</f>
        <v>85.179188255613127</v>
      </c>
    </row>
    <row r="122" spans="1:16" s="221" customFormat="1" ht="15" customHeight="1" thickBot="1">
      <c r="A122" s="170" t="s">
        <v>205</v>
      </c>
      <c r="B122" s="228"/>
      <c r="C122" s="67" t="s">
        <v>286</v>
      </c>
      <c r="D122" s="111">
        <f>SUM(D117)</f>
        <v>1312577</v>
      </c>
      <c r="E122" s="111">
        <f t="shared" ref="E122:F122" si="25">SUM(E117)</f>
        <v>1431844</v>
      </c>
      <c r="F122" s="111">
        <f t="shared" si="25"/>
        <v>1431964</v>
      </c>
      <c r="G122" s="111">
        <f>F122/E122*100</f>
        <v>100.00838080126047</v>
      </c>
    </row>
    <row r="123" spans="1:16" s="177" customFormat="1" ht="15" customHeight="1" thickBot="1">
      <c r="A123" s="170" t="s">
        <v>79</v>
      </c>
      <c r="B123" s="12"/>
      <c r="C123" s="67" t="s">
        <v>287</v>
      </c>
      <c r="D123" s="209"/>
      <c r="E123" s="209"/>
      <c r="F123" s="209">
        <f>'3. sz. mell'!F110+'4. sz. mell.'!F47+'5. sz. mell. '!F61</f>
        <v>33951</v>
      </c>
      <c r="G123" s="209"/>
    </row>
    <row r="124" spans="1:16" ht="15" customHeight="1" thickBot="1">
      <c r="A124" s="170" t="s">
        <v>80</v>
      </c>
      <c r="B124" s="194"/>
      <c r="C124" s="172" t="s">
        <v>1208</v>
      </c>
      <c r="D124" s="111">
        <f>+D118+D119-D122</f>
        <v>3273191</v>
      </c>
      <c r="E124" s="111">
        <f>+E118+E119-E122</f>
        <v>4558951</v>
      </c>
      <c r="F124" s="111">
        <f>+F118+F119-F122+F123</f>
        <v>5847538</v>
      </c>
      <c r="G124" s="111">
        <f>F124/E124*100</f>
        <v>128.26498902927449</v>
      </c>
      <c r="J124" s="205"/>
      <c r="K124" s="86">
        <f>SUM(F122+F124)</f>
        <v>7279502</v>
      </c>
    </row>
    <row r="125" spans="1:16" ht="15" customHeight="1" thickBot="1">
      <c r="A125" s="230"/>
      <c r="B125" s="231"/>
      <c r="C125" s="231"/>
      <c r="D125" s="231"/>
      <c r="E125" s="231"/>
      <c r="F125" s="231"/>
      <c r="G125" s="231"/>
    </row>
    <row r="126" spans="1:16" ht="15" customHeight="1" thickBot="1">
      <c r="A126" s="232" t="s">
        <v>289</v>
      </c>
      <c r="B126" s="233"/>
      <c r="C126" s="234"/>
      <c r="D126" s="235">
        <f>SUM('3. sz. mell'!D113+'4. sz. mell.'!D50+'5. sz. mell. '!D64)</f>
        <v>379</v>
      </c>
      <c r="E126" s="235">
        <f>SUM('3. sz. mell'!E113+'4. sz. mell.'!E50+'5. sz. mell. '!E64)</f>
        <v>366.25</v>
      </c>
      <c r="F126" s="235">
        <f>SUM('3. sz. mell'!F113+'4. sz. mell.'!F50+'5. sz. mell. '!F64)</f>
        <v>340</v>
      </c>
      <c r="G126" s="235"/>
      <c r="J126" s="236"/>
      <c r="K126" s="236"/>
      <c r="L126" s="219"/>
    </row>
    <row r="127" spans="1:16" s="1266" customFormat="1" ht="15" customHeight="1" thickBot="1">
      <c r="A127" s="1262" t="s">
        <v>290</v>
      </c>
      <c r="B127" s="1263"/>
      <c r="C127" s="1264"/>
      <c r="D127" s="1265">
        <f>SUM('3. sz. mell'!D114+'4. sz. mell.'!D51+'5. sz. mell. '!D65)</f>
        <v>13.5</v>
      </c>
      <c r="E127" s="1265">
        <f>SUM('3. sz. mell'!E114+'4. sz. mell.'!E51+'5. sz. mell. '!E65)</f>
        <v>13.5</v>
      </c>
      <c r="F127" s="1265">
        <f>SUM('3. sz. mell'!F114+'4. sz. mell.'!F51+'5. sz. mell. '!F65)</f>
        <v>13.5</v>
      </c>
      <c r="G127" s="1265"/>
      <c r="J127" s="1267"/>
    </row>
    <row r="128" spans="1:16" ht="15" customHeight="1" thickBot="1">
      <c r="A128" s="1909" t="s">
        <v>1566</v>
      </c>
      <c r="B128" s="1909"/>
      <c r="C128" s="1910"/>
      <c r="D128" s="235">
        <f>SUM(D126:D127)</f>
        <v>392.5</v>
      </c>
      <c r="E128" s="235">
        <f t="shared" ref="E128:F128" si="26">SUM(E126:E127)</f>
        <v>379.75</v>
      </c>
      <c r="F128" s="235">
        <f t="shared" si="26"/>
        <v>353.5</v>
      </c>
    </row>
    <row r="129" spans="2:10" ht="14.25" customHeight="1">
      <c r="J129" s="237"/>
    </row>
    <row r="131" spans="2:10" ht="22.5">
      <c r="B131" s="812"/>
      <c r="C131" s="813">
        <f>SUM(D78-D124)</f>
        <v>0</v>
      </c>
    </row>
  </sheetData>
  <sheetProtection selectLockedCells="1" selectUnlockedCells="1"/>
  <mergeCells count="12">
    <mergeCell ref="A128:C128"/>
    <mergeCell ref="A44:C44"/>
    <mergeCell ref="A45:C45"/>
    <mergeCell ref="A56:C56"/>
    <mergeCell ref="A103:C103"/>
    <mergeCell ref="J76:L76"/>
    <mergeCell ref="G1:G2"/>
    <mergeCell ref="A2:B2"/>
    <mergeCell ref="A4:B4"/>
    <mergeCell ref="A1:B1"/>
    <mergeCell ref="D1:F2"/>
    <mergeCell ref="D3:G3"/>
  </mergeCells>
  <printOptions horizontalCentered="1"/>
  <pageMargins left="0.39370078740157483" right="0.23622047244094491" top="0.82677165354330717" bottom="0.59055118110236227" header="0.35433070866141736" footer="0.35433070866141736"/>
  <pageSetup paperSize="9" scale="77" firstPageNumber="37" orientation="portrait" r:id="rId1"/>
  <headerFooter alignWithMargins="0">
    <oddHeader>&amp;C&amp;"Times New Roman CE,Félkövér"&amp;14Vecsés Város Önkormányzat és intézményei 2013. évi bevételei és kiadásai&amp;R&amp;"Times New Roman,Normál"&amp;12 2. sz. melléklet
Ezer Ft</oddHeader>
    <oddFooter>&amp;C- &amp;P -</oddFooter>
  </headerFooter>
  <rowBreaks count="2" manualBreakCount="2">
    <brk id="44" max="6" man="1"/>
    <brk id="7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view="pageBreakPreview" topLeftCell="A62" zoomScaleNormal="130" zoomScaleSheetLayoutView="100" workbookViewId="0">
      <selection activeCell="E61" sqref="E61:F61"/>
    </sheetView>
  </sheetViews>
  <sheetFormatPr defaultRowHeight="12.75"/>
  <cols>
    <col min="1" max="1" width="6.1640625" style="151" customWidth="1"/>
    <col min="2" max="2" width="10" style="152" customWidth="1"/>
    <col min="3" max="3" width="72.33203125" style="152" customWidth="1"/>
    <col min="4" max="4" width="15" style="152" customWidth="1"/>
    <col min="5" max="5" width="15.33203125" style="152" customWidth="1"/>
    <col min="6" max="6" width="12.6640625" style="152" customWidth="1"/>
    <col min="7" max="7" width="7.83203125" style="152" customWidth="1"/>
    <col min="8" max="8" width="9.33203125" style="152"/>
    <col min="9" max="9" width="14.1640625" style="152" customWidth="1"/>
    <col min="10" max="10" width="16.6640625" style="152" customWidth="1"/>
    <col min="11" max="11" width="11.6640625" style="152" customWidth="1"/>
    <col min="12" max="13" width="10" style="152" customWidth="1"/>
    <col min="14" max="16384" width="9.33203125" style="152"/>
  </cols>
  <sheetData>
    <row r="1" spans="1:7" s="155" customFormat="1" ht="33.75" customHeight="1" thickBot="1">
      <c r="A1" s="1921" t="s">
        <v>256</v>
      </c>
      <c r="B1" s="1898"/>
      <c r="C1" s="154" t="s">
        <v>291</v>
      </c>
      <c r="D1" s="1902" t="s">
        <v>1387</v>
      </c>
      <c r="E1" s="1903"/>
      <c r="F1" s="1904"/>
      <c r="G1" s="154"/>
    </row>
    <row r="2" spans="1:7" s="155" customFormat="1" ht="33.75" customHeight="1" thickBot="1">
      <c r="A2" s="1922" t="s">
        <v>258</v>
      </c>
      <c r="B2" s="1923"/>
      <c r="C2" s="154" t="s">
        <v>259</v>
      </c>
      <c r="D2" s="1905"/>
      <c r="E2" s="1906"/>
      <c r="F2" s="1907"/>
      <c r="G2" s="238"/>
    </row>
    <row r="3" spans="1:7" s="159" customFormat="1" ht="15.95" customHeight="1" thickBot="1">
      <c r="A3" s="239"/>
      <c r="B3" s="239"/>
      <c r="C3" s="239"/>
      <c r="D3" s="1908" t="s">
        <v>194</v>
      </c>
      <c r="E3" s="1908"/>
      <c r="F3" s="1908"/>
      <c r="G3" s="1908"/>
    </row>
    <row r="4" spans="1:7" ht="33.75" customHeight="1" thickBot="1">
      <c r="A4" s="1900" t="s">
        <v>260</v>
      </c>
      <c r="B4" s="1900"/>
      <c r="C4" s="161" t="s">
        <v>261</v>
      </c>
      <c r="D4" s="162" t="s">
        <v>262</v>
      </c>
      <c r="E4" s="162" t="s">
        <v>263</v>
      </c>
      <c r="F4" s="162" t="s">
        <v>264</v>
      </c>
      <c r="G4" s="162" t="s">
        <v>2</v>
      </c>
    </row>
    <row r="5" spans="1:7" s="165" customFormat="1" ht="15" customHeight="1">
      <c r="A5" s="160">
        <v>1</v>
      </c>
      <c r="B5" s="163">
        <v>2</v>
      </c>
      <c r="C5" s="163">
        <v>3</v>
      </c>
      <c r="D5" s="164">
        <v>4</v>
      </c>
      <c r="E5" s="164">
        <v>5</v>
      </c>
      <c r="F5" s="164">
        <v>6</v>
      </c>
      <c r="G5" s="164">
        <v>7</v>
      </c>
    </row>
    <row r="6" spans="1:7" s="165" customFormat="1" ht="21" customHeight="1">
      <c r="A6" s="166"/>
      <c r="B6" s="167"/>
      <c r="C6" s="168" t="s">
        <v>196</v>
      </c>
      <c r="D6" s="240"/>
      <c r="E6" s="240"/>
      <c r="F6" s="240"/>
      <c r="G6" s="240"/>
    </row>
    <row r="7" spans="1:7" s="165" customFormat="1" ht="15" customHeight="1">
      <c r="A7" s="170" t="s">
        <v>4</v>
      </c>
      <c r="B7" s="241"/>
      <c r="C7" s="67" t="s">
        <v>265</v>
      </c>
      <c r="D7" s="242">
        <f>SUM(D8+D16)</f>
        <v>1702679</v>
      </c>
      <c r="E7" s="242">
        <f t="shared" ref="E7:F7" si="0">SUM(E8+E16)</f>
        <v>1829664</v>
      </c>
      <c r="F7" s="242">
        <f t="shared" si="0"/>
        <v>1953572</v>
      </c>
      <c r="G7" s="242">
        <f>F7/E7*100</f>
        <v>106.77217237700474</v>
      </c>
    </row>
    <row r="8" spans="1:7" s="173" customFormat="1" ht="19.5" customHeight="1">
      <c r="A8" s="170" t="s">
        <v>5</v>
      </c>
      <c r="B8" s="241"/>
      <c r="C8" s="67" t="s">
        <v>1212</v>
      </c>
      <c r="D8" s="242">
        <f>SUM(D9:D14)</f>
        <v>1625000</v>
      </c>
      <c r="E8" s="242">
        <f>SUM(E9:E15)</f>
        <v>1681152</v>
      </c>
      <c r="F8" s="242">
        <f>SUM(F9:F15)</f>
        <v>1801651</v>
      </c>
      <c r="G8" s="242">
        <f t="shared" ref="G8:G77" si="1">F8/E8*100</f>
        <v>107.16764456753465</v>
      </c>
    </row>
    <row r="9" spans="1:7" s="177" customFormat="1" ht="15" customHeight="1">
      <c r="A9" s="174"/>
      <c r="B9" s="175" t="s">
        <v>6</v>
      </c>
      <c r="C9" s="15" t="s">
        <v>7</v>
      </c>
      <c r="D9" s="243">
        <f>SUM('3.1.asz.melléklet'!E31+'3.1.asz.melléklet'!E32+'3.1.asz.melléklet'!E36)</f>
        <v>1515000</v>
      </c>
      <c r="E9" s="243">
        <f>SUM('3.1.asz.melléklet'!F31+'3.1.asz.melléklet'!F32+'3.1.asz.melléklet'!F36+'3.1.asz.melléklet'!F44)</f>
        <v>1592031</v>
      </c>
      <c r="F9" s="243">
        <f>SUM('3.1.asz.melléklet'!G31+'3.1.asz.melléklet'!G32+'3.1.asz.melléklet'!G36+'3.1.asz.melléklet'!G44)</f>
        <v>1700223</v>
      </c>
      <c r="G9" s="243">
        <f t="shared" si="1"/>
        <v>106.79584756829483</v>
      </c>
    </row>
    <row r="10" spans="1:7" s="177" customFormat="1" ht="15" customHeight="1">
      <c r="A10" s="174"/>
      <c r="B10" s="175" t="s">
        <v>8</v>
      </c>
      <c r="C10" s="15" t="s">
        <v>9</v>
      </c>
      <c r="D10" s="243"/>
      <c r="E10" s="243"/>
      <c r="F10" s="243"/>
      <c r="G10" s="243"/>
    </row>
    <row r="11" spans="1:7" s="177" customFormat="1" ht="15" customHeight="1">
      <c r="A11" s="174"/>
      <c r="B11" s="175" t="s">
        <v>10</v>
      </c>
      <c r="C11" s="15" t="s">
        <v>11</v>
      </c>
      <c r="D11" s="243">
        <f>SUM('3.1.asz.melléklet'!E37)</f>
        <v>100000</v>
      </c>
      <c r="E11" s="243">
        <f>SUM('3.1.asz.melléklet'!F37)</f>
        <v>79116</v>
      </c>
      <c r="F11" s="243">
        <f>SUM('3.1.asz.melléklet'!G37)</f>
        <v>79116</v>
      </c>
      <c r="G11" s="243">
        <f t="shared" si="1"/>
        <v>100</v>
      </c>
    </row>
    <row r="12" spans="1:7" s="177" customFormat="1" ht="15" customHeight="1">
      <c r="A12" s="174"/>
      <c r="B12" s="175" t="s">
        <v>12</v>
      </c>
      <c r="C12" s="15" t="s">
        <v>13</v>
      </c>
      <c r="D12" s="243">
        <f>SUM('3.1.asz.melléklet'!E35)</f>
        <v>10000</v>
      </c>
      <c r="E12" s="243">
        <f>SUM('3.1.asz.melléklet'!F35+'3.1.asz.melléklet'!F43)</f>
        <v>10005</v>
      </c>
      <c r="F12" s="243">
        <f>SUM('3.1.asz.melléklet'!G35+'3.1.asz.melléklet'!G43)</f>
        <v>21935</v>
      </c>
      <c r="G12" s="243">
        <f t="shared" si="1"/>
        <v>219.24037981009494</v>
      </c>
    </row>
    <row r="13" spans="1:7" s="177" customFormat="1" ht="15" customHeight="1">
      <c r="A13" s="174"/>
      <c r="B13" s="175" t="s">
        <v>14</v>
      </c>
      <c r="C13" s="15" t="s">
        <v>266</v>
      </c>
      <c r="D13" s="243"/>
      <c r="E13" s="243"/>
      <c r="F13" s="243"/>
      <c r="G13" s="243"/>
    </row>
    <row r="14" spans="1:7" s="177" customFormat="1" ht="15" customHeight="1">
      <c r="A14" s="174"/>
      <c r="B14" s="175" t="s">
        <v>16</v>
      </c>
      <c r="C14" s="15" t="s">
        <v>17</v>
      </c>
      <c r="D14" s="243"/>
      <c r="E14" s="243"/>
      <c r="F14" s="243"/>
      <c r="G14" s="243"/>
    </row>
    <row r="15" spans="1:7" s="177" customFormat="1" ht="15" customHeight="1">
      <c r="A15" s="178"/>
      <c r="B15" s="175" t="s">
        <v>18</v>
      </c>
      <c r="C15" s="22" t="s">
        <v>267</v>
      </c>
      <c r="D15" s="244"/>
      <c r="E15" s="244">
        <f>'3.1.asz.melléklet'!F42</f>
        <v>0</v>
      </c>
      <c r="F15" s="244">
        <f>'3.1.asz.melléklet'!G42</f>
        <v>377</v>
      </c>
      <c r="G15" s="243"/>
    </row>
    <row r="16" spans="1:7" s="173" customFormat="1" ht="15" customHeight="1">
      <c r="A16" s="170" t="s">
        <v>19</v>
      </c>
      <c r="B16" s="171"/>
      <c r="C16" s="67" t="s">
        <v>292</v>
      </c>
      <c r="D16" s="242">
        <f>SUM(D17:D24)</f>
        <v>77679</v>
      </c>
      <c r="E16" s="242">
        <f t="shared" ref="E16:F16" si="2">SUM(E17:E24)</f>
        <v>148512</v>
      </c>
      <c r="F16" s="242">
        <f t="shared" si="2"/>
        <v>151921</v>
      </c>
      <c r="G16" s="242">
        <f t="shared" si="1"/>
        <v>102.29543740573152</v>
      </c>
    </row>
    <row r="17" spans="1:7" s="173" customFormat="1" ht="15" customHeight="1">
      <c r="A17" s="181"/>
      <c r="B17" s="175" t="s">
        <v>21</v>
      </c>
      <c r="C17" s="15" t="s">
        <v>22</v>
      </c>
      <c r="D17" s="245"/>
      <c r="E17" s="245"/>
      <c r="F17" s="245"/>
      <c r="G17" s="245"/>
    </row>
    <row r="18" spans="1:7" s="173" customFormat="1" ht="15" customHeight="1">
      <c r="A18" s="174"/>
      <c r="B18" s="175" t="s">
        <v>23</v>
      </c>
      <c r="C18" s="15" t="s">
        <v>24</v>
      </c>
      <c r="D18" s="243">
        <f>SUM('3.1.asz.melléklet'!E7)</f>
        <v>15400</v>
      </c>
      <c r="E18" s="243">
        <f>SUM('3.1.asz.melléklet'!F7+'3.1.asz.melléklet'!F28)</f>
        <v>74460</v>
      </c>
      <c r="F18" s="243">
        <f>SUM('3.1.asz.melléklet'!G7+'3.1.asz.melléklet'!G28)</f>
        <v>74460</v>
      </c>
      <c r="G18" s="243">
        <f t="shared" si="1"/>
        <v>100</v>
      </c>
    </row>
    <row r="19" spans="1:7" s="173" customFormat="1" ht="15" customHeight="1">
      <c r="A19" s="174"/>
      <c r="B19" s="175" t="s">
        <v>25</v>
      </c>
      <c r="C19" s="15" t="s">
        <v>26</v>
      </c>
      <c r="D19" s="243">
        <f>SUM('3.1.asz.melléklet'!E15)</f>
        <v>50803</v>
      </c>
      <c r="E19" s="243">
        <f>SUM('3.1.asz.melléklet'!F15)</f>
        <v>45503</v>
      </c>
      <c r="F19" s="243">
        <f>SUM('3.1.asz.melléklet'!G15)</f>
        <v>46155</v>
      </c>
      <c r="G19" s="243">
        <f t="shared" si="1"/>
        <v>101.43287255785334</v>
      </c>
    </row>
    <row r="20" spans="1:7" s="173" customFormat="1" ht="15" customHeight="1">
      <c r="A20" s="174"/>
      <c r="B20" s="175" t="s">
        <v>27</v>
      </c>
      <c r="C20" s="15" t="s">
        <v>28</v>
      </c>
      <c r="D20" s="243"/>
      <c r="E20" s="243"/>
      <c r="F20" s="243"/>
      <c r="G20" s="243"/>
    </row>
    <row r="21" spans="1:7" s="173" customFormat="1" ht="15" customHeight="1">
      <c r="A21" s="174"/>
      <c r="B21" s="175" t="s">
        <v>29</v>
      </c>
      <c r="C21" s="15" t="s">
        <v>30</v>
      </c>
      <c r="D21" s="243"/>
      <c r="E21" s="243"/>
      <c r="F21" s="243"/>
      <c r="G21" s="243"/>
    </row>
    <row r="22" spans="1:7" s="173" customFormat="1" ht="15" customHeight="1">
      <c r="A22" s="178"/>
      <c r="B22" s="175" t="s">
        <v>31</v>
      </c>
      <c r="C22" s="15" t="s">
        <v>32</v>
      </c>
      <c r="D22" s="244">
        <f>SUM('3.1.asz.melléklet'!E26)</f>
        <v>11476</v>
      </c>
      <c r="E22" s="244">
        <f>SUM('3.1.asz.melléklet'!F26)</f>
        <v>27700</v>
      </c>
      <c r="F22" s="244">
        <f>SUM('3.1.asz.melléklet'!G26)</f>
        <v>27700</v>
      </c>
      <c r="G22" s="244">
        <f t="shared" si="1"/>
        <v>100</v>
      </c>
    </row>
    <row r="23" spans="1:7" s="177" customFormat="1" ht="15" customHeight="1">
      <c r="A23" s="174"/>
      <c r="B23" s="175" t="s">
        <v>33</v>
      </c>
      <c r="C23" s="15" t="s">
        <v>34</v>
      </c>
      <c r="D23" s="243">
        <f>SUM('3.1.asz.melléklet'!E25)</f>
        <v>0</v>
      </c>
      <c r="E23" s="243">
        <f>SUM('3.1.asz.melléklet'!F25)</f>
        <v>849</v>
      </c>
      <c r="F23" s="243">
        <f>SUM('3.1.asz.melléklet'!G25)</f>
        <v>3606</v>
      </c>
      <c r="G23" s="243">
        <f t="shared" si="1"/>
        <v>424.73498233215548</v>
      </c>
    </row>
    <row r="24" spans="1:7" s="177" customFormat="1" ht="15" customHeight="1" thickBot="1">
      <c r="A24" s="183"/>
      <c r="B24" s="184" t="s">
        <v>35</v>
      </c>
      <c r="C24" s="15" t="s">
        <v>36</v>
      </c>
      <c r="D24" s="246"/>
      <c r="E24" s="246"/>
      <c r="F24" s="246"/>
      <c r="G24" s="246"/>
    </row>
    <row r="25" spans="1:7" s="177" customFormat="1" ht="15" hidden="1" customHeight="1">
      <c r="A25" s="170"/>
      <c r="B25" s="185"/>
      <c r="C25" s="67"/>
      <c r="D25" s="209"/>
      <c r="E25" s="209"/>
      <c r="F25" s="209"/>
      <c r="G25" s="242" t="e">
        <f t="shared" si="1"/>
        <v>#DIV/0!</v>
      </c>
    </row>
    <row r="26" spans="1:7" s="173" customFormat="1" ht="15" customHeight="1" thickBot="1">
      <c r="A26" s="951" t="s">
        <v>149</v>
      </c>
      <c r="B26" s="171"/>
      <c r="C26" s="67" t="s">
        <v>1611</v>
      </c>
      <c r="D26" s="242">
        <f>SUM(D27:D34)</f>
        <v>526670</v>
      </c>
      <c r="E26" s="242">
        <f>SUM(E27:E34)</f>
        <v>636755</v>
      </c>
      <c r="F26" s="242">
        <f t="shared" ref="F26" si="3">SUM(F27:F34)</f>
        <v>636755</v>
      </c>
      <c r="G26" s="242">
        <f t="shared" si="1"/>
        <v>100</v>
      </c>
    </row>
    <row r="27" spans="1:7" s="177" customFormat="1" ht="15" customHeight="1">
      <c r="A27" s="174"/>
      <c r="B27" s="175" t="s">
        <v>151</v>
      </c>
      <c r="C27" s="15" t="s">
        <v>1519</v>
      </c>
      <c r="D27" s="243">
        <f>SUM('3.1.asz.melléklet'!E48)</f>
        <v>517641</v>
      </c>
      <c r="E27" s="243">
        <f>SUM('3.1.asz.melléklet'!F48)</f>
        <v>624348</v>
      </c>
      <c r="F27" s="243">
        <f>SUM('3.1.asz.melléklet'!G48)</f>
        <v>624348</v>
      </c>
      <c r="G27" s="243">
        <f t="shared" si="1"/>
        <v>100</v>
      </c>
    </row>
    <row r="28" spans="1:7" s="177" customFormat="1" ht="15" customHeight="1">
      <c r="A28" s="174"/>
      <c r="B28" s="175" t="s">
        <v>153</v>
      </c>
      <c r="C28" s="15" t="s">
        <v>41</v>
      </c>
      <c r="D28" s="243">
        <f>SUM('3.1.asz.melléklet'!E49)</f>
        <v>0</v>
      </c>
      <c r="E28" s="243">
        <f>SUM('3.1.asz.melléklet'!F49)</f>
        <v>0</v>
      </c>
      <c r="F28" s="243">
        <f>SUM('3.1.asz.melléklet'!G49)</f>
        <v>0</v>
      </c>
      <c r="G28" s="243" t="e">
        <f t="shared" si="1"/>
        <v>#DIV/0!</v>
      </c>
    </row>
    <row r="29" spans="1:7" s="177" customFormat="1" ht="15" customHeight="1">
      <c r="A29" s="174"/>
      <c r="B29" s="175" t="s">
        <v>155</v>
      </c>
      <c r="C29" s="15" t="s">
        <v>42</v>
      </c>
      <c r="D29" s="243">
        <f>SUM('3.1.asz.melléklet'!E58)</f>
        <v>9029</v>
      </c>
      <c r="E29" s="243">
        <f>SUM('3.1.asz.melléklet'!F58)</f>
        <v>12407</v>
      </c>
      <c r="F29" s="243">
        <f>SUM('3.1.asz.melléklet'!G58)</f>
        <v>12407</v>
      </c>
      <c r="G29" s="243">
        <f t="shared" si="1"/>
        <v>100</v>
      </c>
    </row>
    <row r="30" spans="1:7" s="177" customFormat="1" ht="15" customHeight="1">
      <c r="A30" s="174"/>
      <c r="B30" s="175" t="s">
        <v>1047</v>
      </c>
      <c r="C30" s="15" t="s">
        <v>43</v>
      </c>
      <c r="D30" s="243"/>
      <c r="E30" s="243"/>
      <c r="F30" s="243"/>
      <c r="G30" s="243"/>
    </row>
    <row r="31" spans="1:7" s="177" customFormat="1" ht="15" customHeight="1">
      <c r="A31" s="174"/>
      <c r="B31" s="175" t="s">
        <v>1048</v>
      </c>
      <c r="C31" s="15" t="s">
        <v>44</v>
      </c>
      <c r="D31" s="243"/>
      <c r="E31" s="243"/>
      <c r="F31" s="243"/>
      <c r="G31" s="243"/>
    </row>
    <row r="32" spans="1:7" s="177" customFormat="1" ht="15" customHeight="1">
      <c r="A32" s="174"/>
      <c r="B32" s="175" t="s">
        <v>1049</v>
      </c>
      <c r="C32" s="15" t="s">
        <v>45</v>
      </c>
      <c r="D32" s="243"/>
      <c r="E32" s="243"/>
      <c r="F32" s="243"/>
      <c r="G32" s="243"/>
    </row>
    <row r="33" spans="1:7" s="177" customFormat="1" ht="15" customHeight="1">
      <c r="A33" s="174"/>
      <c r="B33" s="175" t="s">
        <v>1204</v>
      </c>
      <c r="C33" s="15" t="s">
        <v>46</v>
      </c>
      <c r="D33" s="243"/>
      <c r="E33" s="243"/>
      <c r="F33" s="243"/>
      <c r="G33" s="243"/>
    </row>
    <row r="34" spans="1:7" s="177" customFormat="1" ht="15" customHeight="1">
      <c r="A34" s="183"/>
      <c r="B34" s="175" t="s">
        <v>1235</v>
      </c>
      <c r="C34" s="15" t="s">
        <v>268</v>
      </c>
      <c r="D34" s="246"/>
      <c r="E34" s="246">
        <f>'3.1.asz.melléklet'!F69</f>
        <v>0</v>
      </c>
      <c r="F34" s="246">
        <f>'3.1.asz.melléklet'!G69</f>
        <v>0</v>
      </c>
      <c r="G34" s="246"/>
    </row>
    <row r="35" spans="1:7" s="177" customFormat="1" ht="15" customHeight="1" thickBot="1">
      <c r="A35" s="178"/>
      <c r="B35" s="175" t="s">
        <v>1236</v>
      </c>
      <c r="C35" s="22" t="s">
        <v>2061</v>
      </c>
      <c r="D35" s="244"/>
      <c r="E35" s="244">
        <f>SUM('3.1.asz.melléklet'!F70)</f>
        <v>9471</v>
      </c>
      <c r="F35" s="244">
        <f>SUM('3.1.asz.melléklet'!G70)</f>
        <v>9471</v>
      </c>
      <c r="G35" s="246">
        <f t="shared" si="1"/>
        <v>100</v>
      </c>
    </row>
    <row r="36" spans="1:7" s="177" customFormat="1" ht="15" customHeight="1" thickBot="1">
      <c r="A36" s="951" t="s">
        <v>38</v>
      </c>
      <c r="B36" s="12"/>
      <c r="C36" s="67" t="s">
        <v>1832</v>
      </c>
      <c r="D36" s="242">
        <f>SUM(D37,D44)</f>
        <v>157195</v>
      </c>
      <c r="E36" s="242">
        <f t="shared" ref="E36:F36" si="4">SUM(E37,E44)</f>
        <v>56822</v>
      </c>
      <c r="F36" s="242">
        <f t="shared" si="4"/>
        <v>62238</v>
      </c>
      <c r="G36" s="242">
        <f t="shared" si="1"/>
        <v>109.53151948189081</v>
      </c>
    </row>
    <row r="37" spans="1:7" s="177" customFormat="1" ht="15" customHeight="1">
      <c r="A37" s="181"/>
      <c r="B37" s="188" t="s">
        <v>1051</v>
      </c>
      <c r="C37" s="15" t="s">
        <v>1622</v>
      </c>
      <c r="D37" s="247">
        <f>SUM(D38:D42)</f>
        <v>0</v>
      </c>
      <c r="E37" s="247">
        <f>SUM(E38:E43)</f>
        <v>55880</v>
      </c>
      <c r="F37" s="247">
        <f>SUM(F38:F43)</f>
        <v>61296</v>
      </c>
      <c r="G37" s="247">
        <f t="shared" si="1"/>
        <v>109.69219756621331</v>
      </c>
    </row>
    <row r="38" spans="1:7" s="177" customFormat="1" ht="15" customHeight="1">
      <c r="A38" s="174"/>
      <c r="B38" s="189" t="s">
        <v>1530</v>
      </c>
      <c r="C38" s="32" t="s">
        <v>51</v>
      </c>
      <c r="D38" s="243"/>
      <c r="E38" s="243"/>
      <c r="F38" s="243"/>
      <c r="G38" s="243"/>
    </row>
    <row r="39" spans="1:7" s="177" customFormat="1" ht="15" customHeight="1">
      <c r="A39" s="174"/>
      <c r="B39" s="189" t="s">
        <v>1531</v>
      </c>
      <c r="C39" s="32" t="s">
        <v>53</v>
      </c>
      <c r="D39" s="243"/>
      <c r="E39" s="243">
        <f>'3.1.asz.melléklet'!F77</f>
        <v>14014</v>
      </c>
      <c r="F39" s="243">
        <f>'3.1.asz.melléklet'!G77</f>
        <v>16200</v>
      </c>
      <c r="G39" s="243"/>
    </row>
    <row r="40" spans="1:7" s="177" customFormat="1" ht="15" customHeight="1">
      <c r="A40" s="174"/>
      <c r="B40" s="189" t="s">
        <v>1532</v>
      </c>
      <c r="C40" s="32" t="s">
        <v>269</v>
      </c>
      <c r="D40" s="243">
        <f>SUM('3.1.asz.melléklet'!E74)</f>
        <v>0</v>
      </c>
      <c r="E40" s="243">
        <f>'3.1.asz.melléklet'!F78</f>
        <v>0</v>
      </c>
      <c r="F40" s="243">
        <f>'3.1.asz.melléklet'!G78</f>
        <v>3230</v>
      </c>
      <c r="G40" s="243"/>
    </row>
    <row r="41" spans="1:7" s="177" customFormat="1" ht="15" customHeight="1">
      <c r="A41" s="174"/>
      <c r="B41" s="189" t="s">
        <v>1533</v>
      </c>
      <c r="C41" s="32" t="s">
        <v>57</v>
      </c>
      <c r="D41" s="243"/>
      <c r="E41" s="243">
        <f>'3.1.asz.melléklet'!F75</f>
        <v>176</v>
      </c>
      <c r="F41" s="243">
        <f>'3.1.asz.melléklet'!G75</f>
        <v>176</v>
      </c>
      <c r="G41" s="243"/>
    </row>
    <row r="42" spans="1:7" s="177" customFormat="1" ht="15" customHeight="1">
      <c r="A42" s="174"/>
      <c r="B42" s="189" t="s">
        <v>1534</v>
      </c>
      <c r="C42" s="32" t="s">
        <v>1890</v>
      </c>
      <c r="D42" s="243"/>
      <c r="E42" s="243">
        <f>'3.1.asz.melléklet'!F76</f>
        <v>50</v>
      </c>
      <c r="F42" s="243">
        <f>'3.1.asz.melléklet'!G76</f>
        <v>50</v>
      </c>
      <c r="G42" s="243"/>
    </row>
    <row r="43" spans="1:7" s="177" customFormat="1" ht="15" customHeight="1">
      <c r="A43" s="174"/>
      <c r="B43" s="189" t="s">
        <v>1535</v>
      </c>
      <c r="C43" s="32" t="s">
        <v>1621</v>
      </c>
      <c r="D43" s="243"/>
      <c r="E43" s="243">
        <f>'3.1.asz.melléklet'!F74</f>
        <v>41640</v>
      </c>
      <c r="F43" s="243">
        <f>'3.1.asz.melléklet'!G74</f>
        <v>41640</v>
      </c>
      <c r="G43" s="243">
        <f t="shared" si="1"/>
        <v>100</v>
      </c>
    </row>
    <row r="44" spans="1:7" s="177" customFormat="1" ht="15" customHeight="1">
      <c r="A44" s="174"/>
      <c r="B44" s="189" t="s">
        <v>40</v>
      </c>
      <c r="C44" s="15" t="s">
        <v>1623</v>
      </c>
      <c r="D44" s="248">
        <f>SUM(D45:D49)</f>
        <v>157195</v>
      </c>
      <c r="E44" s="248">
        <f t="shared" ref="E44:F44" si="5">SUM(E45:E49)</f>
        <v>942</v>
      </c>
      <c r="F44" s="248">
        <f t="shared" si="5"/>
        <v>942</v>
      </c>
      <c r="G44" s="243">
        <f t="shared" si="1"/>
        <v>100</v>
      </c>
    </row>
    <row r="45" spans="1:7" s="177" customFormat="1" ht="15" customHeight="1">
      <c r="A45" s="174"/>
      <c r="B45" s="189" t="s">
        <v>1538</v>
      </c>
      <c r="C45" s="32" t="s">
        <v>51</v>
      </c>
      <c r="D45" s="243"/>
      <c r="E45" s="243"/>
      <c r="F45" s="243"/>
      <c r="G45" s="243"/>
    </row>
    <row r="46" spans="1:7" s="177" customFormat="1" ht="15" customHeight="1">
      <c r="A46" s="174"/>
      <c r="B46" s="189" t="s">
        <v>1539</v>
      </c>
      <c r="C46" s="32" t="s">
        <v>53</v>
      </c>
      <c r="D46" s="243"/>
      <c r="E46" s="243"/>
      <c r="F46" s="243"/>
      <c r="G46" s="243"/>
    </row>
    <row r="47" spans="1:7" s="177" customFormat="1" ht="15" customHeight="1">
      <c r="A47" s="174"/>
      <c r="B47" s="189" t="s">
        <v>1540</v>
      </c>
      <c r="C47" s="32" t="s">
        <v>55</v>
      </c>
      <c r="D47" s="243"/>
      <c r="E47" s="243"/>
      <c r="F47" s="243"/>
      <c r="G47" s="243"/>
    </row>
    <row r="48" spans="1:7" s="177" customFormat="1" ht="15" customHeight="1" thickBot="1">
      <c r="A48" s="174"/>
      <c r="B48" s="189" t="s">
        <v>1541</v>
      </c>
      <c r="C48" s="32" t="s">
        <v>1621</v>
      </c>
      <c r="D48" s="249">
        <f>SUM('3.1.asz.melléklet'!E124)</f>
        <v>157195</v>
      </c>
      <c r="E48" s="249">
        <f>SUM('3.1.asz.melléklet'!F124)+'3.1.asz.melléklet'!F123</f>
        <v>942</v>
      </c>
      <c r="F48" s="249">
        <f>SUM('3.1.asz.melléklet'!G124)+'3.1.asz.melléklet'!G123</f>
        <v>942</v>
      </c>
      <c r="G48" s="243">
        <f t="shared" si="1"/>
        <v>100</v>
      </c>
    </row>
    <row r="49" spans="1:7" s="177" customFormat="1" ht="15" customHeight="1" thickBot="1">
      <c r="A49" s="191"/>
      <c r="B49" s="189" t="s">
        <v>1542</v>
      </c>
      <c r="C49" s="34" t="s">
        <v>1898</v>
      </c>
      <c r="D49" s="249"/>
      <c r="E49" s="249"/>
      <c r="F49" s="249"/>
      <c r="G49" s="249"/>
    </row>
    <row r="50" spans="1:7" s="173" customFormat="1" ht="15" customHeight="1" thickBot="1">
      <c r="A50" s="951" t="s">
        <v>48</v>
      </c>
      <c r="B50" s="171"/>
      <c r="C50" s="67" t="s">
        <v>1612</v>
      </c>
      <c r="D50" s="242">
        <f>SUM(D51:D54)</f>
        <v>200000</v>
      </c>
      <c r="E50" s="242">
        <f t="shared" ref="E50:F50" si="6">SUM(E51:E54)</f>
        <v>9144</v>
      </c>
      <c r="F50" s="242">
        <f t="shared" si="6"/>
        <v>55239</v>
      </c>
      <c r="G50" s="242">
        <f t="shared" si="1"/>
        <v>604.10104986876638</v>
      </c>
    </row>
    <row r="51" spans="1:7" s="177" customFormat="1" ht="15" customHeight="1">
      <c r="A51" s="174"/>
      <c r="B51" s="189" t="s">
        <v>1544</v>
      </c>
      <c r="C51" s="15" t="s">
        <v>70</v>
      </c>
      <c r="D51" s="243">
        <f>SUM('3.1.asz.melléklet'!E103)</f>
        <v>200000</v>
      </c>
      <c r="E51" s="243">
        <f>SUM('3.1.asz.melléklet'!F103)</f>
        <v>3008</v>
      </c>
      <c r="F51" s="243">
        <f>SUM('3.1.asz.melléklet'!G103)</f>
        <v>3008</v>
      </c>
      <c r="G51" s="243"/>
    </row>
    <row r="52" spans="1:7" s="177" customFormat="1" ht="15" customHeight="1">
      <c r="A52" s="174"/>
      <c r="B52" s="189" t="s">
        <v>1545</v>
      </c>
      <c r="C52" s="15" t="s">
        <v>72</v>
      </c>
      <c r="D52" s="243"/>
      <c r="E52" s="243"/>
      <c r="F52" s="243"/>
      <c r="G52" s="243"/>
    </row>
    <row r="53" spans="1:7" s="177" customFormat="1" ht="15" customHeight="1">
      <c r="A53" s="174"/>
      <c r="B53" s="189" t="s">
        <v>1546</v>
      </c>
      <c r="C53" s="15" t="s">
        <v>73</v>
      </c>
      <c r="D53" s="243">
        <f>SUM('3.1.asz.melléklet'!E120)</f>
        <v>0</v>
      </c>
      <c r="E53" s="243">
        <f>'3.1.asz.melléklet'!F104</f>
        <v>1136</v>
      </c>
      <c r="F53" s="243">
        <f>'3.1.asz.melléklet'!G104</f>
        <v>1136</v>
      </c>
      <c r="G53" s="243">
        <f t="shared" ref="G53" si="7">F53/E53*100</f>
        <v>100</v>
      </c>
    </row>
    <row r="54" spans="1:7" s="177" customFormat="1" ht="15" customHeight="1" thickBot="1">
      <c r="A54" s="174"/>
      <c r="B54" s="189" t="s">
        <v>1896</v>
      </c>
      <c r="C54" s="15" t="s">
        <v>1897</v>
      </c>
      <c r="D54" s="243"/>
      <c r="E54" s="243">
        <f>'3.1.asz.melléklet'!F107</f>
        <v>5000</v>
      </c>
      <c r="F54" s="243">
        <f>'3.1.asz.melléklet'!G107</f>
        <v>51095</v>
      </c>
      <c r="G54" s="243">
        <f t="shared" si="1"/>
        <v>1021.9</v>
      </c>
    </row>
    <row r="55" spans="1:7" s="177" customFormat="1" ht="15" customHeight="1">
      <c r="A55" s="951" t="s">
        <v>178</v>
      </c>
      <c r="B55" s="171"/>
      <c r="C55" s="67" t="s">
        <v>1613</v>
      </c>
      <c r="D55" s="242">
        <f>SUM(D56:D59)</f>
        <v>500</v>
      </c>
      <c r="E55" s="242">
        <f t="shared" ref="E55:F55" si="8">SUM(E56:E59)</f>
        <v>481134</v>
      </c>
      <c r="F55" s="242">
        <f t="shared" si="8"/>
        <v>485382</v>
      </c>
      <c r="G55" s="242">
        <f t="shared" si="1"/>
        <v>100.88291411540236</v>
      </c>
    </row>
    <row r="56" spans="1:7" s="177" customFormat="1" ht="15" customHeight="1">
      <c r="A56" s="193"/>
      <c r="B56" s="189" t="s">
        <v>69</v>
      </c>
      <c r="C56" s="15" t="s">
        <v>76</v>
      </c>
      <c r="D56" s="250"/>
      <c r="E56" s="250">
        <f>'3.1.asz.melléklet'!F84</f>
        <v>32208</v>
      </c>
      <c r="F56" s="250">
        <f>'3.1.asz.melléklet'!G84</f>
        <v>32208</v>
      </c>
      <c r="G56" s="250"/>
    </row>
    <row r="57" spans="1:7" s="177" customFormat="1" ht="15" customHeight="1">
      <c r="A57" s="193"/>
      <c r="B57" s="189" t="s">
        <v>69</v>
      </c>
      <c r="C57" s="15" t="s">
        <v>1893</v>
      </c>
      <c r="D57" s="250"/>
      <c r="E57" s="250">
        <f>'3.1.asz.melléklet'!F85</f>
        <v>0</v>
      </c>
      <c r="F57" s="250">
        <f>'3.1.asz.melléklet'!G85</f>
        <v>0</v>
      </c>
      <c r="G57" s="250"/>
    </row>
    <row r="58" spans="1:7" s="177" customFormat="1" ht="15" customHeight="1">
      <c r="A58" s="174"/>
      <c r="B58" s="189" t="s">
        <v>71</v>
      </c>
      <c r="C58" s="15" t="s">
        <v>78</v>
      </c>
      <c r="D58" s="243">
        <f>'3.1.asz.melléklet'!E126</f>
        <v>500</v>
      </c>
      <c r="E58" s="243">
        <f>'3.1.asz.melléklet'!F126</f>
        <v>448926</v>
      </c>
      <c r="F58" s="243">
        <f>'3.1.asz.melléklet'!G126</f>
        <v>453174</v>
      </c>
      <c r="G58" s="243">
        <f t="shared" ref="G58" si="9">F58/E58*100</f>
        <v>100.94625840338942</v>
      </c>
    </row>
    <row r="59" spans="1:7" s="177" customFormat="1" ht="15" customHeight="1" thickBot="1">
      <c r="A59" s="174"/>
      <c r="B59" s="189" t="s">
        <v>71</v>
      </c>
      <c r="C59" s="15" t="s">
        <v>1894</v>
      </c>
      <c r="D59" s="243"/>
      <c r="E59" s="243">
        <f>'3.1.asz.melléklet'!F130</f>
        <v>0</v>
      </c>
      <c r="F59" s="243">
        <f>'3.1.asz.melléklet'!G130</f>
        <v>0</v>
      </c>
      <c r="G59" s="243" t="e">
        <f t="shared" si="1"/>
        <v>#DIV/0!</v>
      </c>
    </row>
    <row r="60" spans="1:7" s="177" customFormat="1" ht="15" customHeight="1">
      <c r="A60" s="951" t="s">
        <v>74</v>
      </c>
      <c r="B60" s="194"/>
      <c r="C60" s="67" t="s">
        <v>1614</v>
      </c>
      <c r="D60" s="251">
        <f>SUM('3.1.asz.melléklet'!E132)</f>
        <v>500</v>
      </c>
      <c r="E60" s="251">
        <f>SUM('3.1.asz.melléklet'!F132)</f>
        <v>500</v>
      </c>
      <c r="F60" s="251">
        <f>SUM('3.1.asz.melléklet'!G132)</f>
        <v>3301</v>
      </c>
      <c r="G60" s="251">
        <f t="shared" si="1"/>
        <v>660.2</v>
      </c>
    </row>
    <row r="61" spans="1:7" s="173" customFormat="1" ht="16.5" customHeight="1">
      <c r="A61" s="951" t="s">
        <v>205</v>
      </c>
      <c r="B61" s="171"/>
      <c r="C61" s="252" t="s">
        <v>1591</v>
      </c>
      <c r="D61" s="253">
        <f>+D8+D16+D25+D26+D36+D50+D55+D60</f>
        <v>2587544</v>
      </c>
      <c r="E61" s="253">
        <f>+E8+E16+E25+E26+E36+E50+E55+E60+E35</f>
        <v>3023490</v>
      </c>
      <c r="F61" s="253">
        <f>+F8+F16+F25+F26+F36+F50+F55+F60+F35</f>
        <v>3205958</v>
      </c>
      <c r="G61" s="253">
        <f t="shared" si="1"/>
        <v>106.03501251864567</v>
      </c>
    </row>
    <row r="62" spans="1:7" s="173" customFormat="1" ht="15" customHeight="1">
      <c r="A62" s="951" t="s">
        <v>79</v>
      </c>
      <c r="B62" s="198"/>
      <c r="C62" s="67" t="s">
        <v>1615</v>
      </c>
      <c r="D62" s="254">
        <f>+D63+D64</f>
        <v>0</v>
      </c>
      <c r="E62" s="254">
        <f t="shared" ref="E62:F62" si="10">+E63+E64</f>
        <v>613309</v>
      </c>
      <c r="F62" s="254">
        <f t="shared" si="10"/>
        <v>613309</v>
      </c>
      <c r="G62" s="254">
        <f t="shared" si="1"/>
        <v>100</v>
      </c>
    </row>
    <row r="63" spans="1:7" s="173" customFormat="1" ht="15" customHeight="1">
      <c r="A63" s="181"/>
      <c r="B63" s="188" t="s">
        <v>1548</v>
      </c>
      <c r="C63" s="15" t="s">
        <v>82</v>
      </c>
      <c r="D63" s="255"/>
      <c r="E63" s="255">
        <f>'3.1.asz.melléklet'!F88</f>
        <v>205609</v>
      </c>
      <c r="F63" s="255">
        <f>'3.1.asz.melléklet'!G88</f>
        <v>205609</v>
      </c>
      <c r="G63" s="255">
        <f t="shared" si="1"/>
        <v>100</v>
      </c>
    </row>
    <row r="64" spans="1:7" s="173" customFormat="1" ht="15" customHeight="1">
      <c r="A64" s="191"/>
      <c r="B64" s="192" t="s">
        <v>1549</v>
      </c>
      <c r="C64" s="15" t="s">
        <v>84</v>
      </c>
      <c r="D64" s="249">
        <f>SUM('3.1.asz.melléklet'!E137)</f>
        <v>0</v>
      </c>
      <c r="E64" s="249">
        <f>'3.1.asz.melléklet'!F136</f>
        <v>407700</v>
      </c>
      <c r="F64" s="249">
        <f>'3.1.asz.melléklet'!G136</f>
        <v>407700</v>
      </c>
      <c r="G64" s="249">
        <f t="shared" si="1"/>
        <v>100</v>
      </c>
    </row>
    <row r="65" spans="1:13" s="177" customFormat="1" ht="15" customHeight="1">
      <c r="A65" s="201" t="s">
        <v>80</v>
      </c>
      <c r="B65" s="202"/>
      <c r="C65" s="67" t="s">
        <v>1616</v>
      </c>
      <c r="D65" s="242">
        <f>+D66+D67</f>
        <v>0</v>
      </c>
      <c r="E65" s="242">
        <f t="shared" ref="E65:F65" si="11">+E66+E67</f>
        <v>198462</v>
      </c>
      <c r="F65" s="242">
        <f t="shared" si="11"/>
        <v>2104786</v>
      </c>
      <c r="G65" s="242"/>
    </row>
    <row r="66" spans="1:13" s="177" customFormat="1" ht="15" customHeight="1">
      <c r="A66" s="203"/>
      <c r="B66" s="204" t="s">
        <v>81</v>
      </c>
      <c r="C66" s="15" t="s">
        <v>271</v>
      </c>
      <c r="D66" s="250"/>
      <c r="E66" s="250">
        <f>'3.1.asz.melléklet'!F97</f>
        <v>198462</v>
      </c>
      <c r="F66" s="250">
        <f>'3.1.asz.melléklet'!G97</f>
        <v>2104786</v>
      </c>
      <c r="G66" s="250"/>
    </row>
    <row r="67" spans="1:13" s="177" customFormat="1" ht="15" customHeight="1">
      <c r="A67" s="206"/>
      <c r="B67" s="207" t="s">
        <v>83</v>
      </c>
      <c r="C67" s="15" t="s">
        <v>273</v>
      </c>
      <c r="D67" s="246"/>
      <c r="E67" s="246">
        <f>'3.1.asz.melléklet'!F143</f>
        <v>0</v>
      </c>
      <c r="F67" s="246">
        <f>'3.1.asz.melléklet'!G143</f>
        <v>0</v>
      </c>
      <c r="G67" s="246"/>
    </row>
    <row r="68" spans="1:13" s="177" customFormat="1" ht="15" customHeight="1" thickBot="1">
      <c r="A68" s="201"/>
      <c r="B68" s="202"/>
      <c r="C68" s="12" t="s">
        <v>1617</v>
      </c>
      <c r="D68" s="209"/>
      <c r="E68" s="209"/>
      <c r="F68" s="209">
        <f>'3.1.asz.melléklet'!G145</f>
        <v>10346</v>
      </c>
      <c r="G68" s="209"/>
      <c r="J68" s="1281" t="s">
        <v>2052</v>
      </c>
      <c r="K68" s="1281" t="s">
        <v>1811</v>
      </c>
    </row>
    <row r="69" spans="1:13" s="177" customFormat="1" ht="21" customHeight="1" thickBot="1">
      <c r="A69" s="256" t="s">
        <v>85</v>
      </c>
      <c r="B69" s="257"/>
      <c r="C69" s="51" t="s">
        <v>1618</v>
      </c>
      <c r="D69" s="258">
        <f>+D61+D62+D65</f>
        <v>2587544</v>
      </c>
      <c r="E69" s="258">
        <f t="shared" ref="E69" si="12">+E61+E62+E65</f>
        <v>3835261</v>
      </c>
      <c r="F69" s="258">
        <f>+F61+F62+F65+F68</f>
        <v>5934399</v>
      </c>
      <c r="G69" s="258">
        <f t="shared" si="1"/>
        <v>154.73259838117929</v>
      </c>
      <c r="J69" s="1279">
        <v>5934399</v>
      </c>
      <c r="K69" s="219">
        <f>SUM(J69-F69)</f>
        <v>0</v>
      </c>
    </row>
    <row r="70" spans="1:13" s="177" customFormat="1" ht="15" customHeight="1" thickBot="1">
      <c r="A70" s="259"/>
      <c r="B70" s="259"/>
      <c r="C70" s="260"/>
      <c r="D70" s="261"/>
      <c r="E70" s="261"/>
      <c r="F70" s="261"/>
      <c r="G70" s="261"/>
    </row>
    <row r="71" spans="1:13" s="165" customFormat="1" ht="20.25" customHeight="1">
      <c r="A71" s="262"/>
      <c r="B71" s="263"/>
      <c r="C71" s="216" t="s">
        <v>197</v>
      </c>
      <c r="D71" s="217"/>
      <c r="E71" s="217"/>
      <c r="F71" s="217"/>
      <c r="G71" s="217"/>
    </row>
    <row r="72" spans="1:13" s="221" customFormat="1" ht="15" customHeight="1">
      <c r="A72" s="170" t="s">
        <v>4</v>
      </c>
      <c r="B72" s="12"/>
      <c r="C72" s="67" t="s">
        <v>293</v>
      </c>
      <c r="D72" s="242">
        <f>SUM(D73:D77)+D86</f>
        <v>873535</v>
      </c>
      <c r="E72" s="242">
        <f t="shared" ref="E72:F72" si="13">SUM(E73:E77)+E86</f>
        <v>1259194</v>
      </c>
      <c r="F72" s="242">
        <f t="shared" si="13"/>
        <v>983541</v>
      </c>
      <c r="G72" s="242">
        <f t="shared" si="1"/>
        <v>78.108774342952714</v>
      </c>
    </row>
    <row r="73" spans="1:13" ht="15" customHeight="1">
      <c r="A73" s="193"/>
      <c r="B73" s="220" t="s">
        <v>102</v>
      </c>
      <c r="C73" s="15" t="s">
        <v>103</v>
      </c>
      <c r="D73" s="250">
        <f>SUM('3.2.sz.melléklet'!E181+'3.2.sz.melléklet'!E198+'3.2.sz.melléklet'!E203+'3.2.sz.melléklet'!E223)</f>
        <v>16170</v>
      </c>
      <c r="E73" s="250">
        <f>SUM('3.2.sz.melléklet'!F181+'3.2.sz.melléklet'!F198+'3.2.sz.melléklet'!F203+'3.2.sz.melléklet'!F223)</f>
        <v>76087</v>
      </c>
      <c r="F73" s="250">
        <f>SUM('3.2.sz.melléklet'!G181+'3.2.sz.melléklet'!G198+'3.2.sz.melléklet'!G203+'3.2.sz.melléklet'!G223)</f>
        <v>66328</v>
      </c>
      <c r="G73" s="250">
        <f t="shared" si="1"/>
        <v>87.173893043489699</v>
      </c>
      <c r="I73" s="502" t="s">
        <v>2056</v>
      </c>
      <c r="J73" s="502" t="s">
        <v>2055</v>
      </c>
      <c r="K73" s="502" t="s">
        <v>2050</v>
      </c>
      <c r="L73" s="502" t="s">
        <v>2051</v>
      </c>
      <c r="M73" s="502"/>
    </row>
    <row r="74" spans="1:13" ht="15" customHeight="1">
      <c r="A74" s="174"/>
      <c r="B74" s="189" t="s">
        <v>104</v>
      </c>
      <c r="C74" s="15" t="s">
        <v>105</v>
      </c>
      <c r="D74" s="243">
        <f>SUM('3.2.sz.melléklet'!E7+'3.2.sz.melléklet'!E182+'3.2.sz.melléklet'!E199+'3.2.sz.melléklet'!E204+'3.2.sz.melléklet'!E224)</f>
        <v>10003</v>
      </c>
      <c r="E74" s="243">
        <f>SUM('3.2.sz.melléklet'!F7+'3.2.sz.melléklet'!F182+'3.2.sz.melléklet'!F199+'3.2.sz.melléklet'!F204+'3.2.sz.melléklet'!F224)</f>
        <v>15993</v>
      </c>
      <c r="F74" s="243">
        <f>SUM('3.2.sz.melléklet'!G7+'3.2.sz.melléklet'!G182+'3.2.sz.melléklet'!G199+'3.2.sz.melléklet'!G204+'3.2.sz.melléklet'!G224)</f>
        <v>13511</v>
      </c>
      <c r="G74" s="243">
        <f t="shared" si="1"/>
        <v>84.480710310760955</v>
      </c>
      <c r="I74" s="502"/>
      <c r="J74" s="502"/>
      <c r="K74" s="502"/>
      <c r="L74" s="502"/>
      <c r="M74" s="502"/>
    </row>
    <row r="75" spans="1:13" ht="15" customHeight="1">
      <c r="A75" s="174"/>
      <c r="B75" s="189" t="s">
        <v>106</v>
      </c>
      <c r="C75" s="15" t="s">
        <v>107</v>
      </c>
      <c r="D75" s="243">
        <f>SUM('3.2.sz.melléklet'!E15+'3.2.sz.melléklet'!E16+'3.2.sz.melléklet'!E19+'3.2.sz.melléklet'!E183+'3.2.sz.melléklet'!E191+'3.2.sz.melléklet'!E200+'3.2.sz.melléklet'!E205+'3.2.sz.melléklet'!E208+'3.2.sz.melléklet'!E210+'3.2.sz.melléklet'!E212+'3.2.sz.melléklet'!E221+'3.2.sz.melléklet'!E225+'3.2.sz.melléklet'!E18)</f>
        <v>553111</v>
      </c>
      <c r="E75" s="243">
        <f>SUM('3.2.sz.melléklet'!F15+'3.2.sz.melléklet'!F16+'3.2.sz.melléklet'!F19+'3.2.sz.melléklet'!F183+'3.2.sz.melléklet'!F191+'3.2.sz.melléklet'!F200+'3.2.sz.melléklet'!F205+'3.2.sz.melléklet'!F208+'3.2.sz.melléklet'!F210+'3.2.sz.melléklet'!F212+'3.2.sz.melléklet'!F221+'3.2.sz.melléklet'!F225+'3.2.sz.melléklet'!F18)</f>
        <v>740034</v>
      </c>
      <c r="F75" s="243">
        <f>SUM('3.2.sz.melléklet'!G15+'3.2.sz.melléklet'!G16+'3.2.sz.melléklet'!G19+'3.2.sz.melléklet'!G183+'3.2.sz.melléklet'!G191+'3.2.sz.melléklet'!G200+'3.2.sz.melléklet'!G205+'3.2.sz.melléklet'!G208+'3.2.sz.melléklet'!G210+'3.2.sz.melléklet'!G212+'3.2.sz.melléklet'!G221+'3.2.sz.melléklet'!G225+'3.2.sz.melléklet'!G18)</f>
        <v>617069</v>
      </c>
      <c r="G75" s="243">
        <f t="shared" si="1"/>
        <v>83.383871551847619</v>
      </c>
      <c r="I75" s="502" t="s">
        <v>2053</v>
      </c>
      <c r="J75" s="436">
        <v>639611</v>
      </c>
      <c r="K75" s="436">
        <v>813680</v>
      </c>
      <c r="L75" s="436">
        <v>651567</v>
      </c>
      <c r="M75" s="502"/>
    </row>
    <row r="76" spans="1:13" ht="15" customHeight="1">
      <c r="A76" s="174"/>
      <c r="B76" s="189" t="s">
        <v>108</v>
      </c>
      <c r="C76" s="15" t="s">
        <v>275</v>
      </c>
      <c r="D76" s="243">
        <f>SUM('3.2.sz.melléklet'!E125)</f>
        <v>17000</v>
      </c>
      <c r="E76" s="243">
        <f>SUM('3.2.sz.melléklet'!F125)</f>
        <v>23842</v>
      </c>
      <c r="F76" s="243">
        <f>SUM('3.2.sz.melléklet'!G125)</f>
        <v>21842</v>
      </c>
      <c r="G76" s="243">
        <f t="shared" si="1"/>
        <v>91.611441993121375</v>
      </c>
      <c r="I76" s="502" t="s">
        <v>2054</v>
      </c>
      <c r="J76" s="436">
        <v>86500</v>
      </c>
      <c r="K76" s="436">
        <v>73646</v>
      </c>
      <c r="L76" s="436">
        <v>34498</v>
      </c>
      <c r="M76" s="502"/>
    </row>
    <row r="77" spans="1:13" ht="15" customHeight="1">
      <c r="A77" s="174"/>
      <c r="B77" s="189" t="s">
        <v>110</v>
      </c>
      <c r="C77" s="15" t="s">
        <v>111</v>
      </c>
      <c r="D77" s="243">
        <f>SUM(D78:D85)</f>
        <v>133646</v>
      </c>
      <c r="E77" s="243">
        <f t="shared" ref="E77:F77" si="14">SUM(E78:E85)</f>
        <v>319492</v>
      </c>
      <c r="F77" s="243">
        <f t="shared" si="14"/>
        <v>264791</v>
      </c>
      <c r="G77" s="243">
        <f t="shared" si="1"/>
        <v>82.878757527575019</v>
      </c>
      <c r="I77" s="502"/>
      <c r="J77" s="436">
        <f>SUM(J75-J76)</f>
        <v>553111</v>
      </c>
      <c r="K77" s="436">
        <f t="shared" ref="K77:L77" si="15">SUM(K75-K76)</f>
        <v>740034</v>
      </c>
      <c r="L77" s="436">
        <f t="shared" si="15"/>
        <v>617069</v>
      </c>
      <c r="M77" s="502"/>
    </row>
    <row r="78" spans="1:13" ht="15" customHeight="1">
      <c r="A78" s="174"/>
      <c r="B78" s="189" t="s">
        <v>112</v>
      </c>
      <c r="C78" s="264" t="s">
        <v>294</v>
      </c>
      <c r="D78" s="243"/>
      <c r="E78" s="243"/>
      <c r="F78" s="243"/>
      <c r="G78" s="243"/>
      <c r="I78" s="502" t="s">
        <v>1811</v>
      </c>
      <c r="J78" s="1223">
        <f>SUM(J77-D75)</f>
        <v>0</v>
      </c>
      <c r="K78" s="1223">
        <f t="shared" ref="K78:L78" si="16">SUM(K77-E75)</f>
        <v>0</v>
      </c>
      <c r="L78" s="1223">
        <f t="shared" si="16"/>
        <v>0</v>
      </c>
    </row>
    <row r="79" spans="1:13" ht="15" customHeight="1">
      <c r="A79" s="174"/>
      <c r="B79" s="189" t="s">
        <v>114</v>
      </c>
      <c r="C79" s="15" t="s">
        <v>109</v>
      </c>
      <c r="D79" s="243"/>
      <c r="E79" s="243"/>
      <c r="F79" s="243"/>
      <c r="G79" s="243"/>
    </row>
    <row r="80" spans="1:13" ht="15" customHeight="1">
      <c r="A80" s="174"/>
      <c r="B80" s="189" t="s">
        <v>295</v>
      </c>
      <c r="C80" s="264" t="s">
        <v>121</v>
      </c>
      <c r="D80" s="243"/>
      <c r="E80" s="243"/>
      <c r="F80" s="243"/>
      <c r="G80" s="243"/>
    </row>
    <row r="81" spans="1:12" ht="15" customHeight="1">
      <c r="A81" s="174"/>
      <c r="B81" s="189" t="s">
        <v>296</v>
      </c>
      <c r="C81" s="264" t="s">
        <v>123</v>
      </c>
      <c r="D81" s="243">
        <f>SUM('3.2.sz.melléklet'!E34)</f>
        <v>101646</v>
      </c>
      <c r="E81" s="243">
        <f>SUM('3.2.sz.melléklet'!F34)-'3.2.sz.melléklet'!F54-'3.2.sz.melléklet'!F55</f>
        <v>181947</v>
      </c>
      <c r="F81" s="243">
        <f>SUM('3.2.sz.melléklet'!G34)-'3.2.sz.melléklet'!G54-'3.2.sz.melléklet'!G55</f>
        <v>147289</v>
      </c>
      <c r="G81" s="243">
        <f t="shared" ref="G81:G111" si="17">F81/E81*100</f>
        <v>80.951595794379685</v>
      </c>
      <c r="I81" s="502" t="s">
        <v>2057</v>
      </c>
    </row>
    <row r="82" spans="1:12" ht="15" customHeight="1">
      <c r="A82" s="174"/>
      <c r="B82" s="189" t="s">
        <v>297</v>
      </c>
      <c r="C82" s="264" t="s">
        <v>125</v>
      </c>
      <c r="D82" s="243"/>
      <c r="E82" s="243">
        <f>'3.2.sz.melléklet'!F21+'3.2.sz.melléklet'!F54+'3.2.sz.melléklet'!F55</f>
        <v>108399</v>
      </c>
      <c r="F82" s="243">
        <f>'3.2.sz.melléklet'!G21+'3.2.sz.melléklet'!G54+'3.2.sz.melléklet'!G55</f>
        <v>108312</v>
      </c>
      <c r="G82" s="243">
        <f t="shared" si="17"/>
        <v>99.919740957019897</v>
      </c>
      <c r="I82" s="502" t="s">
        <v>2053</v>
      </c>
      <c r="J82" s="436">
        <v>86500</v>
      </c>
      <c r="K82" s="436">
        <v>73646</v>
      </c>
      <c r="L82" s="436">
        <v>34498</v>
      </c>
    </row>
    <row r="83" spans="1:12" ht="15" customHeight="1">
      <c r="A83" s="174"/>
      <c r="B83" s="189" t="s">
        <v>298</v>
      </c>
      <c r="C83" s="264" t="s">
        <v>127</v>
      </c>
      <c r="D83" s="243"/>
      <c r="E83" s="243"/>
      <c r="F83" s="243"/>
      <c r="G83" s="243"/>
      <c r="I83" s="502" t="s">
        <v>1811</v>
      </c>
      <c r="J83" s="1223">
        <f>SUM(J82-D84-D95)</f>
        <v>0</v>
      </c>
      <c r="K83" s="1223">
        <f>SUM(K82-E84-E95)</f>
        <v>0</v>
      </c>
      <c r="L83" s="1223">
        <f>SUM(L82-F84-F95)</f>
        <v>0</v>
      </c>
    </row>
    <row r="84" spans="1:12" ht="15" customHeight="1">
      <c r="A84" s="174"/>
      <c r="B84" s="189" t="s">
        <v>299</v>
      </c>
      <c r="C84" s="264" t="s">
        <v>129</v>
      </c>
      <c r="D84" s="243">
        <f>SUM('3.2.sz.melléklet'!E17)</f>
        <v>32000</v>
      </c>
      <c r="E84" s="243">
        <f>SUM('3.2.sz.melléklet'!F17)</f>
        <v>29146</v>
      </c>
      <c r="F84" s="243">
        <f>SUM('3.2.sz.melléklet'!G17)</f>
        <v>9190</v>
      </c>
      <c r="G84" s="243"/>
      <c r="I84" s="502"/>
    </row>
    <row r="85" spans="1:12" ht="15" customHeight="1">
      <c r="A85" s="183"/>
      <c r="B85" s="189" t="s">
        <v>300</v>
      </c>
      <c r="C85" s="264" t="s">
        <v>131</v>
      </c>
      <c r="D85" s="246"/>
      <c r="E85" s="246"/>
      <c r="F85" s="246"/>
      <c r="G85" s="246"/>
      <c r="I85" s="502"/>
    </row>
    <row r="86" spans="1:12" ht="15" customHeight="1">
      <c r="A86" s="191"/>
      <c r="B86" s="192" t="s">
        <v>276</v>
      </c>
      <c r="C86" s="227" t="s">
        <v>1780</v>
      </c>
      <c r="D86" s="265">
        <f>SUM('3.2.sz.melléklet'!E133)</f>
        <v>143605</v>
      </c>
      <c r="E86" s="265">
        <f>'3.2.sz.melléklet'!F131</f>
        <v>83746</v>
      </c>
      <c r="F86" s="265">
        <f>'3.2.sz.melléklet'!G131</f>
        <v>0</v>
      </c>
      <c r="G86" s="265"/>
      <c r="I86" s="502"/>
    </row>
    <row r="87" spans="1:12" ht="15" customHeight="1">
      <c r="A87" s="170" t="s">
        <v>5</v>
      </c>
      <c r="B87" s="12"/>
      <c r="C87" s="67" t="s">
        <v>301</v>
      </c>
      <c r="D87" s="242">
        <f>SUM(D88:D94)</f>
        <v>222432</v>
      </c>
      <c r="E87" s="242">
        <f t="shared" ref="E87:F87" si="18">SUM(E88:E94)</f>
        <v>823131</v>
      </c>
      <c r="F87" s="242">
        <f t="shared" si="18"/>
        <v>573726</v>
      </c>
      <c r="G87" s="242">
        <f t="shared" si="17"/>
        <v>69.700448652766084</v>
      </c>
      <c r="I87" s="502"/>
    </row>
    <row r="88" spans="1:12" s="221" customFormat="1" ht="15" customHeight="1">
      <c r="A88" s="193"/>
      <c r="B88" s="189" t="s">
        <v>302</v>
      </c>
      <c r="C88" s="15" t="s">
        <v>303</v>
      </c>
      <c r="D88" s="250">
        <f>SUM('3.2.sz.melléklet'!E149)</f>
        <v>91500</v>
      </c>
      <c r="E88" s="250">
        <f>SUM('3.2.sz.melléklet'!F149)</f>
        <v>737794</v>
      </c>
      <c r="F88" s="250">
        <f>SUM('3.2.sz.melléklet'!G149)</f>
        <v>518336</v>
      </c>
      <c r="G88" s="250">
        <f t="shared" si="17"/>
        <v>70.254840782115338</v>
      </c>
      <c r="I88" s="502"/>
    </row>
    <row r="89" spans="1:12" ht="15" customHeight="1">
      <c r="A89" s="174"/>
      <c r="B89" s="189" t="s">
        <v>304</v>
      </c>
      <c r="C89" s="15" t="s">
        <v>134</v>
      </c>
      <c r="D89" s="243">
        <f>SUM('3.2.sz.melléklet'!E148)</f>
        <v>25000</v>
      </c>
      <c r="E89" s="243">
        <f>SUM('3.2.sz.melléklet'!F148)</f>
        <v>29420</v>
      </c>
      <c r="F89" s="243">
        <f>SUM('3.2.sz.melléklet'!G148)</f>
        <v>28867</v>
      </c>
      <c r="G89" s="243">
        <f t="shared" si="17"/>
        <v>98.120326308633594</v>
      </c>
      <c r="I89" s="502"/>
    </row>
    <row r="90" spans="1:12" ht="15" customHeight="1">
      <c r="A90" s="174"/>
      <c r="B90" s="189" t="s">
        <v>305</v>
      </c>
      <c r="C90" s="15" t="s">
        <v>135</v>
      </c>
      <c r="D90" s="243"/>
      <c r="E90" s="243"/>
      <c r="F90" s="243"/>
      <c r="G90" s="243"/>
      <c r="I90" s="502"/>
    </row>
    <row r="91" spans="1:12" ht="15" customHeight="1">
      <c r="A91" s="174"/>
      <c r="B91" s="189" t="s">
        <v>306</v>
      </c>
      <c r="C91" s="15" t="s">
        <v>136</v>
      </c>
      <c r="D91" s="243"/>
      <c r="E91" s="243"/>
      <c r="F91" s="243"/>
      <c r="G91" s="243"/>
      <c r="I91" s="502"/>
    </row>
    <row r="92" spans="1:12" ht="30">
      <c r="A92" s="174"/>
      <c r="B92" s="189" t="s">
        <v>307</v>
      </c>
      <c r="C92" s="15" t="s">
        <v>137</v>
      </c>
      <c r="D92" s="243"/>
      <c r="E92" s="243"/>
      <c r="F92" s="243"/>
      <c r="G92" s="243"/>
      <c r="I92" s="502"/>
    </row>
    <row r="93" spans="1:12" ht="30">
      <c r="A93" s="174"/>
      <c r="B93" s="189" t="s">
        <v>308</v>
      </c>
      <c r="C93" s="15" t="s">
        <v>278</v>
      </c>
      <c r="D93" s="243"/>
      <c r="E93" s="243"/>
      <c r="F93" s="243"/>
      <c r="G93" s="243"/>
      <c r="I93" s="502"/>
    </row>
    <row r="94" spans="1:12" ht="15" customHeight="1">
      <c r="A94" s="174"/>
      <c r="B94" s="189" t="s">
        <v>309</v>
      </c>
      <c r="C94" s="15" t="s">
        <v>139</v>
      </c>
      <c r="D94" s="243">
        <f>SUM(D96+D95)</f>
        <v>105932</v>
      </c>
      <c r="E94" s="243">
        <f t="shared" ref="E94:F94" si="19">SUM(E96+E95)</f>
        <v>55917</v>
      </c>
      <c r="F94" s="243">
        <f t="shared" si="19"/>
        <v>26523</v>
      </c>
      <c r="G94" s="243">
        <f t="shared" si="17"/>
        <v>47.432802188958632</v>
      </c>
      <c r="I94" s="502"/>
    </row>
    <row r="95" spans="1:12" ht="15" customHeight="1">
      <c r="A95" s="174"/>
      <c r="B95" s="189" t="s">
        <v>140</v>
      </c>
      <c r="C95" s="32" t="s">
        <v>129</v>
      </c>
      <c r="D95" s="243">
        <f>SUM('3.2.sz.melléklet'!E157+'3.2.sz.melléklet'!E158)</f>
        <v>54500</v>
      </c>
      <c r="E95" s="243">
        <f>SUM('3.2.sz.melléklet'!F157+'3.2.sz.melléklet'!F158)</f>
        <v>44500</v>
      </c>
      <c r="F95" s="243">
        <f>SUM('3.2.sz.melléklet'!G157+'3.2.sz.melléklet'!G158)</f>
        <v>25308</v>
      </c>
      <c r="G95" s="243">
        <f t="shared" si="17"/>
        <v>56.871910112359544</v>
      </c>
      <c r="I95" s="502"/>
    </row>
    <row r="96" spans="1:12" s="221" customFormat="1" ht="15" customHeight="1">
      <c r="A96" s="174"/>
      <c r="B96" s="189" t="s">
        <v>142</v>
      </c>
      <c r="C96" s="32" t="s">
        <v>1251</v>
      </c>
      <c r="D96" s="243">
        <f>SUM(D97:D99)</f>
        <v>51432</v>
      </c>
      <c r="E96" s="243">
        <f t="shared" ref="E96:F96" si="20">SUM(E97:E99)</f>
        <v>11417</v>
      </c>
      <c r="F96" s="243">
        <f t="shared" si="20"/>
        <v>1215</v>
      </c>
      <c r="G96" s="243">
        <f t="shared" si="17"/>
        <v>10.642025050363493</v>
      </c>
      <c r="I96" s="502"/>
    </row>
    <row r="97" spans="1:15" ht="15" customHeight="1">
      <c r="A97" s="174"/>
      <c r="B97" s="189" t="s">
        <v>310</v>
      </c>
      <c r="C97" s="266" t="s">
        <v>311</v>
      </c>
      <c r="D97" s="267">
        <f>SUM('3.2.sz.melléklet'!E153)</f>
        <v>51432</v>
      </c>
      <c r="E97" s="267">
        <f>SUM('3.2.sz.melléklet'!F153)</f>
        <v>10292</v>
      </c>
      <c r="F97" s="267">
        <f>SUM('3.2.sz.melléklet'!G153)</f>
        <v>90</v>
      </c>
      <c r="G97" s="267">
        <f t="shared" si="17"/>
        <v>0.87446560435289544</v>
      </c>
      <c r="I97" s="502"/>
      <c r="O97" s="225"/>
    </row>
    <row r="98" spans="1:15" ht="15" customHeight="1">
      <c r="A98" s="174"/>
      <c r="B98" s="189" t="s">
        <v>312</v>
      </c>
      <c r="C98" s="266" t="s">
        <v>313</v>
      </c>
      <c r="D98" s="267"/>
      <c r="E98" s="267">
        <f>'3.2.sz.melléklet'!F152</f>
        <v>125</v>
      </c>
      <c r="F98" s="267">
        <f>'3.2.sz.melléklet'!G152</f>
        <v>125</v>
      </c>
      <c r="G98" s="267"/>
    </row>
    <row r="99" spans="1:15" ht="15" customHeight="1">
      <c r="A99" s="183"/>
      <c r="B99" s="189" t="s">
        <v>314</v>
      </c>
      <c r="C99" s="268" t="s">
        <v>315</v>
      </c>
      <c r="D99" s="269"/>
      <c r="E99" s="269">
        <f>'3.2.sz.melléklet'!F151</f>
        <v>1000</v>
      </c>
      <c r="F99" s="269">
        <f>'3.2.sz.melléklet'!G151</f>
        <v>1000</v>
      </c>
      <c r="G99" s="269"/>
    </row>
    <row r="100" spans="1:15" ht="15" customHeight="1">
      <c r="A100" s="170" t="s">
        <v>19</v>
      </c>
      <c r="B100" s="12"/>
      <c r="C100" s="67" t="s">
        <v>148</v>
      </c>
      <c r="D100" s="209"/>
      <c r="E100" s="209">
        <f>'3.2.sz.melléklet'!F156</f>
        <v>6831</v>
      </c>
      <c r="F100" s="209"/>
      <c r="G100" s="209">
        <f t="shared" si="17"/>
        <v>0</v>
      </c>
    </row>
    <row r="101" spans="1:15" s="221" customFormat="1" ht="15" customHeight="1">
      <c r="A101" s="170" t="s">
        <v>149</v>
      </c>
      <c r="B101" s="12"/>
      <c r="C101" s="67" t="s">
        <v>150</v>
      </c>
      <c r="D101" s="242">
        <f>+D102+D104</f>
        <v>115000</v>
      </c>
      <c r="E101" s="242">
        <f t="shared" ref="E101:F101" si="21">+E102+E104</f>
        <v>249413</v>
      </c>
      <c r="F101" s="242">
        <f t="shared" si="21"/>
        <v>0</v>
      </c>
      <c r="G101" s="242">
        <f t="shared" si="17"/>
        <v>0</v>
      </c>
    </row>
    <row r="102" spans="1:15" s="221" customFormat="1" ht="15" customHeight="1">
      <c r="A102" s="193"/>
      <c r="B102" s="220" t="s">
        <v>279</v>
      </c>
      <c r="C102" s="15" t="s">
        <v>152</v>
      </c>
      <c r="D102" s="250">
        <f>SUM('3.2.sz.melléklet'!E166)</f>
        <v>20000</v>
      </c>
      <c r="E102" s="250"/>
      <c r="F102" s="250">
        <f>SUM('3.2.sz.melléklet'!G166)</f>
        <v>0</v>
      </c>
      <c r="G102" s="250" t="e">
        <f t="shared" si="17"/>
        <v>#DIV/0!</v>
      </c>
    </row>
    <row r="103" spans="1:15" s="221" customFormat="1" ht="15" customHeight="1">
      <c r="A103" s="178"/>
      <c r="B103" s="223" t="s">
        <v>153</v>
      </c>
      <c r="C103" s="15" t="s">
        <v>277</v>
      </c>
      <c r="D103" s="244"/>
      <c r="E103" s="250"/>
      <c r="F103" s="244"/>
      <c r="G103" s="244"/>
    </row>
    <row r="104" spans="1:15" s="221" customFormat="1" ht="15" customHeight="1">
      <c r="A104" s="183"/>
      <c r="B104" s="207" t="s">
        <v>316</v>
      </c>
      <c r="C104" s="15" t="s">
        <v>156</v>
      </c>
      <c r="D104" s="246">
        <f>SUM('3.2.sz.melléklet'!E167)</f>
        <v>95000</v>
      </c>
      <c r="E104" s="246">
        <f>SUM('3.2.sz.melléklet'!F167)</f>
        <v>249413</v>
      </c>
      <c r="F104" s="246">
        <f>SUM('3.2.sz.melléklet'!G167)</f>
        <v>0</v>
      </c>
      <c r="G104" s="246">
        <f t="shared" si="17"/>
        <v>0</v>
      </c>
    </row>
    <row r="105" spans="1:15" s="221" customFormat="1" ht="15" customHeight="1">
      <c r="A105" s="170" t="s">
        <v>38</v>
      </c>
      <c r="B105" s="228"/>
      <c r="C105" s="67" t="s">
        <v>280</v>
      </c>
      <c r="D105" s="209">
        <f>SUM('3.2.sz.melléklet'!E26)</f>
        <v>1312577</v>
      </c>
      <c r="E105" s="209">
        <f>SUM('3.2.sz.melléklet'!F26)</f>
        <v>1431844</v>
      </c>
      <c r="F105" s="209">
        <f>SUM('3.2.sz.melléklet'!G26)</f>
        <v>1431964</v>
      </c>
      <c r="G105" s="209">
        <f t="shared" si="17"/>
        <v>100.00838080126047</v>
      </c>
    </row>
    <row r="106" spans="1:15" s="221" customFormat="1" ht="15" customHeight="1">
      <c r="A106" s="170" t="s">
        <v>48</v>
      </c>
      <c r="B106" s="12"/>
      <c r="C106" s="40" t="s">
        <v>281</v>
      </c>
      <c r="D106" s="270">
        <f>+D72+D87+D100+D101+D105</f>
        <v>2523544</v>
      </c>
      <c r="E106" s="270">
        <f t="shared" ref="E106:F106" si="22">+E72+E87+E100+E101+E105</f>
        <v>3770413</v>
      </c>
      <c r="F106" s="270">
        <f t="shared" si="22"/>
        <v>2989231</v>
      </c>
      <c r="G106" s="270">
        <f t="shared" si="17"/>
        <v>79.281261760979504</v>
      </c>
    </row>
    <row r="107" spans="1:15" s="221" customFormat="1" ht="15" customHeight="1">
      <c r="A107" s="170" t="s">
        <v>178</v>
      </c>
      <c r="B107" s="12"/>
      <c r="C107" s="67" t="s">
        <v>282</v>
      </c>
      <c r="D107" s="242">
        <f>+D108+D109</f>
        <v>64000</v>
      </c>
      <c r="E107" s="242">
        <f t="shared" ref="E107:F107" si="23">+E108+E109</f>
        <v>64848</v>
      </c>
      <c r="F107" s="242">
        <f t="shared" si="23"/>
        <v>2127566</v>
      </c>
      <c r="G107" s="242">
        <f t="shared" si="17"/>
        <v>3280.8506044905007</v>
      </c>
    </row>
    <row r="108" spans="1:15" ht="15" customHeight="1">
      <c r="A108" s="193"/>
      <c r="B108" s="189" t="s">
        <v>283</v>
      </c>
      <c r="C108" s="15" t="s">
        <v>284</v>
      </c>
      <c r="D108" s="250"/>
      <c r="E108" s="250">
        <f>'3.2.sz.melléklet'!F144</f>
        <v>0</v>
      </c>
      <c r="F108" s="250">
        <f>'3.2.sz.melléklet'!G144</f>
        <v>2072329</v>
      </c>
      <c r="G108" s="250"/>
      <c r="I108" s="152" t="s">
        <v>2058</v>
      </c>
      <c r="J108" s="1281" t="s">
        <v>2052</v>
      </c>
      <c r="K108" s="1281" t="s">
        <v>1811</v>
      </c>
    </row>
    <row r="109" spans="1:15" ht="15" customHeight="1" thickBot="1">
      <c r="A109" s="183"/>
      <c r="B109" s="207" t="s">
        <v>71</v>
      </c>
      <c r="C109" s="15" t="s">
        <v>285</v>
      </c>
      <c r="D109" s="246">
        <f>SUM('3.2.sz.melléklet'!E170)</f>
        <v>64000</v>
      </c>
      <c r="E109" s="246">
        <f>SUM('3.2.sz.melléklet'!F170)</f>
        <v>64848</v>
      </c>
      <c r="F109" s="246">
        <f>SUM('3.2.sz.melléklet'!G170)</f>
        <v>55237</v>
      </c>
      <c r="G109" s="246">
        <f t="shared" si="17"/>
        <v>85.179188255613127</v>
      </c>
      <c r="J109" s="1279">
        <v>15359</v>
      </c>
      <c r="K109" s="1279">
        <f>SUM(J109-F110)</f>
        <v>0</v>
      </c>
    </row>
    <row r="110" spans="1:15" s="177" customFormat="1" ht="15" customHeight="1" thickBot="1">
      <c r="A110" s="170"/>
      <c r="B110" s="12"/>
      <c r="C110" s="67" t="s">
        <v>317</v>
      </c>
      <c r="D110" s="209"/>
      <c r="E110" s="209"/>
      <c r="F110" s="209">
        <f>'3.2.sz.melléklet'!G237</f>
        <v>15359</v>
      </c>
      <c r="G110" s="209"/>
    </row>
    <row r="111" spans="1:15" ht="15" customHeight="1" thickBot="1">
      <c r="A111" s="256" t="s">
        <v>74</v>
      </c>
      <c r="B111" s="257"/>
      <c r="C111" s="51" t="s">
        <v>288</v>
      </c>
      <c r="D111" s="258">
        <f>+D106+D107</f>
        <v>2587544</v>
      </c>
      <c r="E111" s="258">
        <f t="shared" ref="E111" si="24">+E106+E107</f>
        <v>3835261</v>
      </c>
      <c r="F111" s="258">
        <f>+F106+F107+F110</f>
        <v>5132156</v>
      </c>
      <c r="G111" s="258">
        <f t="shared" si="17"/>
        <v>133.81503892433918</v>
      </c>
      <c r="J111" s="1281" t="s">
        <v>2052</v>
      </c>
      <c r="K111" s="1281" t="s">
        <v>1811</v>
      </c>
    </row>
    <row r="112" spans="1:15" ht="15" customHeight="1" thickBot="1">
      <c r="A112" s="271"/>
      <c r="B112" s="272"/>
      <c r="C112" s="272"/>
      <c r="D112" s="231"/>
      <c r="E112" s="231"/>
      <c r="F112" s="231"/>
      <c r="G112" s="231"/>
      <c r="J112" s="1279">
        <v>5132156</v>
      </c>
      <c r="K112" s="219">
        <f>SUM(J112-F111)</f>
        <v>0</v>
      </c>
    </row>
    <row r="113" spans="1:7" ht="15" customHeight="1" thickBot="1">
      <c r="A113" s="1920" t="s">
        <v>289</v>
      </c>
      <c r="B113" s="1920"/>
      <c r="C113" s="1920"/>
      <c r="D113" s="235">
        <f>SUM('3.2.sz.melléklet'!E206+'3.2.sz.melléklet'!E189)</f>
        <v>9.5</v>
      </c>
      <c r="E113" s="235">
        <f>SUM('3.2.sz.melléklet'!F206+'3.2.sz.melléklet'!F189)</f>
        <v>9.5</v>
      </c>
      <c r="F113" s="235">
        <f>SUM('3.2.sz.melléklet'!G206+'3.2.sz.melléklet'!G189)</f>
        <v>9.5</v>
      </c>
      <c r="G113" s="235"/>
    </row>
    <row r="114" spans="1:7" ht="15" customHeight="1">
      <c r="A114" s="1920" t="s">
        <v>290</v>
      </c>
      <c r="B114" s="1920"/>
      <c r="C114" s="1920"/>
      <c r="D114" s="273">
        <v>13.5</v>
      </c>
      <c r="E114" s="273">
        <v>13.5</v>
      </c>
      <c r="F114" s="273">
        <v>13.5</v>
      </c>
      <c r="G114" s="273"/>
    </row>
    <row r="115" spans="1:7" ht="15" customHeight="1"/>
    <row r="116" spans="1:7" ht="15" customHeight="1"/>
    <row r="117" spans="1:7" ht="13.5" thickBot="1"/>
    <row r="118" spans="1:7" ht="16.5" thickBot="1">
      <c r="E118" s="258">
        <v>4969009</v>
      </c>
      <c r="F118" s="258">
        <v>4971068</v>
      </c>
    </row>
    <row r="121" spans="1:7" ht="15.75">
      <c r="E121" s="1223">
        <f>SUM(E118-E111)</f>
        <v>1133748</v>
      </c>
      <c r="F121" s="1223">
        <f>SUM(F118-F111)</f>
        <v>-161088</v>
      </c>
    </row>
  </sheetData>
  <sheetProtection selectLockedCells="1" selectUnlockedCells="1"/>
  <mergeCells count="7">
    <mergeCell ref="D1:F2"/>
    <mergeCell ref="D3:G3"/>
    <mergeCell ref="A114:C114"/>
    <mergeCell ref="A1:B1"/>
    <mergeCell ref="A2:B2"/>
    <mergeCell ref="A4:B4"/>
    <mergeCell ref="A113:C113"/>
  </mergeCells>
  <printOptions horizontalCentered="1"/>
  <pageMargins left="0.31496062992125984" right="0.23622047244094491" top="0.78740157480314965" bottom="0.47244094488188981" header="0.27559055118110237" footer="0.27559055118110237"/>
  <pageSetup paperSize="9" scale="78" firstPageNumber="40" orientation="portrait" r:id="rId1"/>
  <headerFooter alignWithMargins="0">
    <oddHeader>&amp;C&amp;"Times New Roman CE,Félkövér"&amp;14Vecsés Város Önkormányzat 2013. évi bevételei és kiadásai&amp;R&amp;"Times New Roman,Normál"&amp;11 &amp;12 3. sz. melléklet
Ezer Ft</oddHeader>
    <oddFooter>&amp;C- &amp;P -</oddFooter>
  </headerFooter>
  <rowBreaks count="2" manualBreakCount="2">
    <brk id="49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64</vt:i4>
      </vt:variant>
      <vt:variant>
        <vt:lpstr>Névvel ellátott tartományok</vt:lpstr>
      </vt:variant>
      <vt:variant>
        <vt:i4>100</vt:i4>
      </vt:variant>
    </vt:vector>
  </HeadingPairs>
  <TitlesOfParts>
    <vt:vector size="164" baseType="lpstr">
      <vt:lpstr>I. sz. mell.</vt:lpstr>
      <vt:lpstr>1.sz.mell.</vt:lpstr>
      <vt:lpstr>1.1.sz.mell  </vt:lpstr>
      <vt:lpstr>1.2.sz.mell  </vt:lpstr>
      <vt:lpstr>1.3. sz. mell</vt:lpstr>
      <vt:lpstr>1.4. sz. mell</vt:lpstr>
      <vt:lpstr>1.5. sz. mell</vt:lpstr>
      <vt:lpstr>2. sz. mell </vt:lpstr>
      <vt:lpstr>3. sz. mell</vt:lpstr>
      <vt:lpstr>3.1.asz.melléklet</vt:lpstr>
      <vt:lpstr>3.2.sz.melléklet</vt:lpstr>
      <vt:lpstr>4. sz. mell.</vt:lpstr>
      <vt:lpstr>4.1 sz. mell</vt:lpstr>
      <vt:lpstr>4.2. sz. mell</vt:lpstr>
      <vt:lpstr>4.3 sz. mell</vt:lpstr>
      <vt:lpstr>4.4.sz. mell.</vt:lpstr>
      <vt:lpstr>4.5.sz. mell. </vt:lpstr>
      <vt:lpstr>4.6 sz. mell.</vt:lpstr>
      <vt:lpstr>4.7.sz. mell.</vt:lpstr>
      <vt:lpstr>4.8.sz. mell.</vt:lpstr>
      <vt:lpstr>5. sz. mell. </vt:lpstr>
      <vt:lpstr>5.1. sz. mell. </vt:lpstr>
      <vt:lpstr>5.2. sz. mell.  </vt:lpstr>
      <vt:lpstr>5.3 sz. mell</vt:lpstr>
      <vt:lpstr>5.4. sz mell</vt:lpstr>
      <vt:lpstr>5.5. sz. mell.  </vt:lpstr>
      <vt:lpstr>5.6. sz. mell</vt:lpstr>
      <vt:lpstr>5.7. sz. mell.</vt:lpstr>
      <vt:lpstr>5.8. sz. mell.</vt:lpstr>
      <vt:lpstr>5.9. sz. mell. </vt:lpstr>
      <vt:lpstr>5.9.1..sz mell.</vt:lpstr>
      <vt:lpstr>5.10. sz. mell.</vt:lpstr>
      <vt:lpstr>5.10.1..sz mell.</vt:lpstr>
      <vt:lpstr>5.11 sz. mell </vt:lpstr>
      <vt:lpstr>5.11.1. sz. mell.</vt:lpstr>
      <vt:lpstr>6.1.sz.mell. </vt:lpstr>
      <vt:lpstr>6.2.sz.mell.</vt:lpstr>
      <vt:lpstr>7.1. sz mell.</vt:lpstr>
      <vt:lpstr>7.2 sz mell.</vt:lpstr>
      <vt:lpstr>8.1.sz.mell. (2)</vt:lpstr>
      <vt:lpstr>8.2.sz.mell.</vt:lpstr>
      <vt:lpstr>8.3.sz.mell.</vt:lpstr>
      <vt:lpstr>9. sz. mell.</vt:lpstr>
      <vt:lpstr>10.sz. mell.</vt:lpstr>
      <vt:lpstr>11.sz.mell.</vt:lpstr>
      <vt:lpstr>12. sz. mell.</vt:lpstr>
      <vt:lpstr>13. sz. mell.</vt:lpstr>
      <vt:lpstr>14.sz.mell</vt:lpstr>
      <vt:lpstr>15.1. sz. mell.</vt:lpstr>
      <vt:lpstr>15.2. sz. mell</vt:lpstr>
      <vt:lpstr>16sz. mell</vt:lpstr>
      <vt:lpstr>17.1.sz.mell.</vt:lpstr>
      <vt:lpstr>17.2.sz.mell.</vt:lpstr>
      <vt:lpstr>17.3.sz.mell.</vt:lpstr>
      <vt:lpstr>17.4.sz.mell.</vt:lpstr>
      <vt:lpstr>17.5.sz.mell.</vt:lpstr>
      <vt:lpstr>Munka1</vt:lpstr>
      <vt:lpstr>Munka2</vt:lpstr>
      <vt:lpstr>.</vt:lpstr>
      <vt:lpstr>..</vt:lpstr>
      <vt:lpstr>...</vt:lpstr>
      <vt:lpstr>.-</vt:lpstr>
      <vt:lpstr>.-.</vt:lpstr>
      <vt:lpstr>,</vt:lpstr>
      <vt:lpstr>___xlnm.Print_Area_1</vt:lpstr>
      <vt:lpstr>__xlnm.Print_Area_1_60</vt:lpstr>
      <vt:lpstr>__xlnm.Print_Area_1_61</vt:lpstr>
      <vt:lpstr>__xlnm.Print_Area_1_62</vt:lpstr>
      <vt:lpstr>__xlnm.Print_Area_1_63</vt:lpstr>
      <vt:lpstr>','!Nyomtatási_cím</vt:lpstr>
      <vt:lpstr>'.'!Nyomtatási_cím</vt:lpstr>
      <vt:lpstr>'.-'!Nyomtatási_cím</vt:lpstr>
      <vt:lpstr>'..'!Nyomtatási_cím</vt:lpstr>
      <vt:lpstr>'.-.'!Nyomtatási_cím</vt:lpstr>
      <vt:lpstr>'...'!Nyomtatási_cím</vt:lpstr>
      <vt:lpstr>'1.sz.mell.'!Nyomtatási_cím</vt:lpstr>
      <vt:lpstr>'15.1. sz. mell.'!Nyomtatási_cím</vt:lpstr>
      <vt:lpstr>'2. sz. mell '!Nyomtatási_cím</vt:lpstr>
      <vt:lpstr>'3. sz. mell'!Nyomtatási_cím</vt:lpstr>
      <vt:lpstr>'3.1.asz.melléklet'!Nyomtatási_cím</vt:lpstr>
      <vt:lpstr>'3.2.sz.melléklet'!Nyomtatási_cím</vt:lpstr>
      <vt:lpstr>'4. sz. mell.'!Nyomtatási_cím</vt:lpstr>
      <vt:lpstr>'4.1 sz. mell'!Nyomtatási_cím</vt:lpstr>
      <vt:lpstr>'4.2. sz. mell'!Nyomtatási_cím</vt:lpstr>
      <vt:lpstr>'4.3 sz. mell'!Nyomtatási_cím</vt:lpstr>
      <vt:lpstr>'4.4.sz. mell.'!Nyomtatási_cím</vt:lpstr>
      <vt:lpstr>'4.5.sz. mell. '!Nyomtatási_cím</vt:lpstr>
      <vt:lpstr>'4.6 sz. mell.'!Nyomtatási_cím</vt:lpstr>
      <vt:lpstr>'4.7.sz. mell.'!Nyomtatási_cím</vt:lpstr>
      <vt:lpstr>'4.8.sz. mell.'!Nyomtatási_cím</vt:lpstr>
      <vt:lpstr>'5. sz. mell. '!Nyomtatási_cím</vt:lpstr>
      <vt:lpstr>'5.1. sz. mell. '!Nyomtatási_cím</vt:lpstr>
      <vt:lpstr>'5.10. sz. mell.'!Nyomtatási_cím</vt:lpstr>
      <vt:lpstr>'5.10.1..sz mell.'!Nyomtatási_cím</vt:lpstr>
      <vt:lpstr>'5.11 sz. mell '!Nyomtatási_cím</vt:lpstr>
      <vt:lpstr>'5.11.1. sz. mell.'!Nyomtatási_cím</vt:lpstr>
      <vt:lpstr>'5.2. sz. mell.  '!Nyomtatási_cím</vt:lpstr>
      <vt:lpstr>'5.3 sz. mell'!Nyomtatási_cím</vt:lpstr>
      <vt:lpstr>'5.4. sz mell'!Nyomtatási_cím</vt:lpstr>
      <vt:lpstr>'5.5. sz. mell.  '!Nyomtatási_cím</vt:lpstr>
      <vt:lpstr>'5.6. sz. mell'!Nyomtatási_cím</vt:lpstr>
      <vt:lpstr>'5.7. sz. mell.'!Nyomtatási_cím</vt:lpstr>
      <vt:lpstr>'5.8. sz. mell.'!Nyomtatási_cím</vt:lpstr>
      <vt:lpstr>'5.9. sz. mell. '!Nyomtatási_cím</vt:lpstr>
      <vt:lpstr>'5.9.1..sz mell.'!Nyomtatási_cím</vt:lpstr>
      <vt:lpstr>'6.2.sz.mell.'!Nyomtatási_cím</vt:lpstr>
      <vt:lpstr>'7.1. sz mell.'!Nyomtatási_cím</vt:lpstr>
      <vt:lpstr>'7.2 sz mell.'!Nyomtatási_cím</vt:lpstr>
      <vt:lpstr>'I. sz. mell.'!Nyomtatási_cím</vt:lpstr>
      <vt:lpstr>','!Nyomtatási_terület</vt:lpstr>
      <vt:lpstr>'.'!Nyomtatási_terület</vt:lpstr>
      <vt:lpstr>'.-'!Nyomtatási_terület</vt:lpstr>
      <vt:lpstr>'..'!Nyomtatási_terület</vt:lpstr>
      <vt:lpstr>'.-.'!Nyomtatási_terület</vt:lpstr>
      <vt:lpstr>'...'!Nyomtatási_terület</vt:lpstr>
      <vt:lpstr>'1.1.sz.mell  '!Nyomtatási_terület</vt:lpstr>
      <vt:lpstr>'1.2.sz.mell  '!Nyomtatási_terület</vt:lpstr>
      <vt:lpstr>'1.3. sz. mell'!Nyomtatási_terület</vt:lpstr>
      <vt:lpstr>'1.4. sz. mell'!Nyomtatási_terület</vt:lpstr>
      <vt:lpstr>'1.5. sz. mell'!Nyomtatási_terület</vt:lpstr>
      <vt:lpstr>'1.sz.mell.'!Nyomtatási_terület</vt:lpstr>
      <vt:lpstr>'10.sz. mell.'!Nyomtatási_terület</vt:lpstr>
      <vt:lpstr>'11.sz.mell.'!Nyomtatási_terület</vt:lpstr>
      <vt:lpstr>'15.2. sz. mell'!Nyomtatási_terület</vt:lpstr>
      <vt:lpstr>'16sz. mell'!Nyomtatási_terület</vt:lpstr>
      <vt:lpstr>'17.1.sz.mell.'!Nyomtatási_terület</vt:lpstr>
      <vt:lpstr>'17.2.sz.mell.'!Nyomtatási_terület</vt:lpstr>
      <vt:lpstr>'17.3.sz.mell.'!Nyomtatási_terület</vt:lpstr>
      <vt:lpstr>'17.4.sz.mell.'!Nyomtatási_terület</vt:lpstr>
      <vt:lpstr>'17.5.sz.mell.'!Nyomtatási_terület</vt:lpstr>
      <vt:lpstr>'2. sz. mell '!Nyomtatási_terület</vt:lpstr>
      <vt:lpstr>'3. sz. mell'!Nyomtatási_terület</vt:lpstr>
      <vt:lpstr>'3.1.asz.melléklet'!Nyomtatási_terület</vt:lpstr>
      <vt:lpstr>'3.2.sz.melléklet'!Nyomtatási_terület</vt:lpstr>
      <vt:lpstr>'4. sz. mell.'!Nyomtatási_terület</vt:lpstr>
      <vt:lpstr>'4.1 sz. mell'!Nyomtatási_terület</vt:lpstr>
      <vt:lpstr>'4.2. sz. mell'!Nyomtatási_terület</vt:lpstr>
      <vt:lpstr>'4.3 sz. mell'!Nyomtatási_terület</vt:lpstr>
      <vt:lpstr>'4.4.sz. mell.'!Nyomtatási_terület</vt:lpstr>
      <vt:lpstr>'4.5.sz. mell. '!Nyomtatási_terület</vt:lpstr>
      <vt:lpstr>'4.6 sz. mell.'!Nyomtatási_terület</vt:lpstr>
      <vt:lpstr>'4.7.sz. mell.'!Nyomtatási_terület</vt:lpstr>
      <vt:lpstr>'4.8.sz. mell.'!Nyomtatási_terület</vt:lpstr>
      <vt:lpstr>'5. sz. mell. '!Nyomtatási_terület</vt:lpstr>
      <vt:lpstr>'5.1. sz. mell. '!Nyomtatási_terület</vt:lpstr>
      <vt:lpstr>'5.10. sz. mell.'!Nyomtatási_terület</vt:lpstr>
      <vt:lpstr>'5.10.1..sz mell.'!Nyomtatási_terület</vt:lpstr>
      <vt:lpstr>'5.11 sz. mell '!Nyomtatási_terület</vt:lpstr>
      <vt:lpstr>'5.11.1. sz. mell.'!Nyomtatási_terület</vt:lpstr>
      <vt:lpstr>'5.2. sz. mell.  '!Nyomtatási_terület</vt:lpstr>
      <vt:lpstr>'5.3 sz. mell'!Nyomtatási_terület</vt:lpstr>
      <vt:lpstr>'5.4. sz mell'!Nyomtatási_terület</vt:lpstr>
      <vt:lpstr>'5.5. sz. mell.  '!Nyomtatási_terület</vt:lpstr>
      <vt:lpstr>'5.6. sz. mell'!Nyomtatási_terület</vt:lpstr>
      <vt:lpstr>'5.7. sz. mell.'!Nyomtatási_terület</vt:lpstr>
      <vt:lpstr>'5.8. sz. mell.'!Nyomtatási_terület</vt:lpstr>
      <vt:lpstr>'5.9. sz. mell. '!Nyomtatási_terület</vt:lpstr>
      <vt:lpstr>'5.9.1..sz mell.'!Nyomtatási_terület</vt:lpstr>
      <vt:lpstr>'6.1.sz.mell. '!Nyomtatási_terület</vt:lpstr>
      <vt:lpstr>'6.2.sz.mell.'!Nyomtatási_terület</vt:lpstr>
      <vt:lpstr>'7.1. sz mell.'!Nyomtatási_terület</vt:lpstr>
      <vt:lpstr>'7.2 sz mell.'!Nyomtatási_terület</vt:lpstr>
      <vt:lpstr>'9. sz. mell.'!Nyomtatási_terület</vt:lpstr>
      <vt:lpstr>'I. sz. mell.'!Nyomtatási_terület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VVÖK</cp:lastModifiedBy>
  <cp:lastPrinted>2014-05-30T08:17:44Z</cp:lastPrinted>
  <dcterms:created xsi:type="dcterms:W3CDTF">2012-09-04T16:09:39Z</dcterms:created>
  <dcterms:modified xsi:type="dcterms:W3CDTF">2014-05-30T08:56:10Z</dcterms:modified>
</cp:coreProperties>
</file>